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trlProps/ctrlProp1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Dropbox2\Dropbox (MIT)\Tar Sands Stuff\SETA\"/>
    </mc:Choice>
  </mc:AlternateContent>
  <bookViews>
    <workbookView xWindow="0" yWindow="0" windowWidth="28800" windowHeight="12135" tabRatio="700"/>
  </bookViews>
  <sheets>
    <sheet name="Dashboard and Input Variables" sheetId="1" r:id="rId1"/>
    <sheet name="References" sheetId="7" r:id="rId2"/>
    <sheet name="Grid Sizes, Locations, and GHGs" sheetId="2" r:id="rId3"/>
    <sheet name="Equivalent_$Ton" sheetId="9" r:id="rId4"/>
    <sheet name="GHG by Electricity Source" sheetId="6" r:id="rId5"/>
    <sheet name="Instantatneous Model" sheetId="3" r:id="rId6"/>
    <sheet name="Cumulative 40yr Model" sheetId="4" r:id="rId7"/>
    <sheet name="ResponseCurves" sheetId="10" state="hidden" r:id="rId8"/>
    <sheet name="Allowable Values" sheetId="5" state="hidden" r:id="rId9"/>
  </sheets>
  <definedNames>
    <definedName name="Add_Wind_Cap">'Cumulative 40yr Model'!$D$34:$D$43</definedName>
    <definedName name="AESO2008">References!$B$2</definedName>
    <definedName name="AESO2014">References!$B$3</definedName>
    <definedName name="Area">'Dashboard and Input Variables'!$B$11</definedName>
    <definedName name="Area_Fraction">'Dashboard and Input Variables'!$B$13</definedName>
    <definedName name="CF">'Dashboard and Input Variables'!$B$24</definedName>
    <definedName name="ClimatePolicy2015">References!$B$4</definedName>
    <definedName name="CoxChris2013">References!$B$5</definedName>
    <definedName name="Creyts2007">References!$B$6</definedName>
    <definedName name="Delucchi">References!$B$4</definedName>
    <definedName name="Delucchi2011">References!$B$7</definedName>
    <definedName name="EIA_2010">References!$B$8</definedName>
    <definedName name="Georgilakis2008">References!$B$9</definedName>
    <definedName name="GOA_2013">References!$B$10</definedName>
    <definedName name="GOA_2015">References!$B$11</definedName>
    <definedName name="GovAB2013">References!$B$5</definedName>
    <definedName name="Grid_Cap">'Dashboard and Input Variables'!$B$30</definedName>
    <definedName name="IHS_CERA_2012">References!$B$6</definedName>
    <definedName name="IHS_CERA_2015">References!$B$12</definedName>
    <definedName name="Inc_Em">'Dashboard and Input Variables'!$B$7</definedName>
    <definedName name="Land_Area">'Dashboard and Input Variables'!$B$11</definedName>
    <definedName name="Nugent2014">References!$B$14</definedName>
    <definedName name="Oil_Growth">'Dashboard and Input Variables'!$B$4</definedName>
    <definedName name="Oil_Prod">'Dashboard and Input Variables'!$B$3</definedName>
    <definedName name="Patel2005">References!$B$15</definedName>
    <definedName name="Prod_Em">'Dashboard and Input Variables'!$B$5</definedName>
    <definedName name="Raadal2011">References!$B$7</definedName>
    <definedName name="Radaal2011">References!$B$16</definedName>
    <definedName name="RETScreen">References!$B$13</definedName>
    <definedName name="solver_adj" localSheetId="5" hidden="1">'Instantatneous Model'!$I$3</definedName>
    <definedName name="solver_cvg" localSheetId="5" hidden="1">0.0001</definedName>
    <definedName name="solver_drv" localSheetId="5" hidden="1">1</definedName>
    <definedName name="solver_eng" localSheetId="5" hidden="1">1</definedName>
    <definedName name="solver_est" localSheetId="5" hidden="1">1</definedName>
    <definedName name="solver_itr" localSheetId="5" hidden="1">2147483647</definedName>
    <definedName name="solver_lhs1" localSheetId="5" hidden="1">'Instantatneous Model'!$I$17</definedName>
    <definedName name="solver_lhs2" localSheetId="5" hidden="1">'Instantatneous Model'!$I$17</definedName>
    <definedName name="solver_lhs3" localSheetId="5" hidden="1">'Instantatneous Model'!$F$17</definedName>
    <definedName name="solver_mip" localSheetId="5" hidden="1">2147483647</definedName>
    <definedName name="solver_mni" localSheetId="5" hidden="1">30</definedName>
    <definedName name="solver_mrt" localSheetId="5" hidden="1">0.075</definedName>
    <definedName name="solver_msl" localSheetId="5" hidden="1">2</definedName>
    <definedName name="solver_neg" localSheetId="5" hidden="1">1</definedName>
    <definedName name="solver_nod" localSheetId="5" hidden="1">2147483647</definedName>
    <definedName name="solver_num" localSheetId="5" hidden="1">1</definedName>
    <definedName name="solver_nwt" localSheetId="5" hidden="1">1</definedName>
    <definedName name="solver_opt" localSheetId="5" hidden="1">'Instantatneous Model'!$I$3</definedName>
    <definedName name="solver_pre" localSheetId="5" hidden="1">0.000001</definedName>
    <definedName name="solver_rbv" localSheetId="5" hidden="1">1</definedName>
    <definedName name="solver_rel1" localSheetId="5" hidden="1">3</definedName>
    <definedName name="solver_rel2" localSheetId="5" hidden="1">3</definedName>
    <definedName name="solver_rel3" localSheetId="5" hidden="1">3</definedName>
    <definedName name="solver_rhs1" localSheetId="5" hidden="1">1</definedName>
    <definedName name="solver_rhs2" localSheetId="5" hidden="1">1</definedName>
    <definedName name="solver_rhs3" localSheetId="5" hidden="1">1</definedName>
    <definedName name="solver_rlx" localSheetId="5" hidden="1">2</definedName>
    <definedName name="solver_rsd" localSheetId="5" hidden="1">0</definedName>
    <definedName name="solver_scl" localSheetId="5" hidden="1">1</definedName>
    <definedName name="solver_sho" localSheetId="5" hidden="1">2</definedName>
    <definedName name="solver_ssz" localSheetId="5" hidden="1">100</definedName>
    <definedName name="solver_tim" localSheetId="5" hidden="1">2147483647</definedName>
    <definedName name="solver_tol" localSheetId="5" hidden="1">0.01</definedName>
    <definedName name="solver_typ" localSheetId="5" hidden="1">1</definedName>
    <definedName name="solver_val" localSheetId="5" hidden="1">1</definedName>
    <definedName name="solver_ver" localSheetId="5" hidden="1">3</definedName>
    <definedName name="Tarrif_bbl">'Dashboard and Input Variables'!$F$14</definedName>
    <definedName name="Tarrif_kwh">'Dashboard and Input Variables'!$F$15</definedName>
    <definedName name="Total_Em">'Dashboard and Input Variables'!$B$6</definedName>
    <definedName name="Trans_Cost">'Dashboard and Input Variables'!$B$33</definedName>
    <definedName name="Trans_Redund">'Dashboard and Input Variables'!$B$35</definedName>
    <definedName name="Turb_Cost">'Dashboard and Input Variables'!$B$25</definedName>
    <definedName name="Turb_Cost_W">'Dashboard and Input Variables'!$B$25</definedName>
    <definedName name="Turb_Dense">'Dashboard and Input Variables'!$B$12</definedName>
    <definedName name="Turb_GHG">'Dashboard and Input Variables'!$B$27</definedName>
    <definedName name="Turb_Life">'Dashboard and Input Variables'!$B$29</definedName>
    <definedName name="Turb_OM">'Dashboard and Input Variables'!$B$26</definedName>
    <definedName name="Turb_OM_W">'Dashboard and Input Variables'!$B$26</definedName>
    <definedName name="Turb_Size">'Dashboard and Input Variables'!$B$23</definedName>
    <definedName name="Turb_Size_MW">'Dashboard and Input Variables'!$B$23</definedName>
    <definedName name="Vestas2014">References!$B$17</definedName>
    <definedName name="Weisser2007">References!$B$8</definedName>
    <definedName name="Wiser2015">References!$B$18</definedName>
  </definedNames>
  <calcPr calcId="152511" iterate="1" iterateCount="300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6" i="2"/>
  <c r="E5" i="2"/>
  <c r="A2" i="10" l="1"/>
  <c r="B2" i="10"/>
  <c r="C2" i="10"/>
  <c r="F18" i="9" l="1"/>
  <c r="F19" i="9"/>
  <c r="F20" i="9"/>
  <c r="F21" i="9"/>
  <c r="E18" i="9"/>
  <c r="E19" i="9"/>
  <c r="E20" i="9"/>
  <c r="E21" i="9"/>
  <c r="C2" i="9"/>
  <c r="D2" i="9"/>
  <c r="E2" i="9"/>
  <c r="A3" i="9"/>
  <c r="A4" i="9"/>
  <c r="A5" i="9"/>
  <c r="A6" i="9"/>
  <c r="D8" i="4"/>
  <c r="D22" i="4"/>
  <c r="B28" i="1" l="1"/>
  <c r="C4" i="6"/>
  <c r="D4" i="6"/>
  <c r="E4" i="6"/>
  <c r="F4" i="6"/>
  <c r="G4" i="6"/>
  <c r="H4" i="6"/>
  <c r="I4" i="6"/>
  <c r="J4" i="6"/>
  <c r="K4" i="6"/>
  <c r="B4" i="6"/>
  <c r="G7" i="3" l="1"/>
  <c r="G8" i="3" s="1"/>
  <c r="G15" i="3" s="1"/>
  <c r="G5" i="3"/>
  <c r="G14" i="3" l="1"/>
  <c r="D12" i="4"/>
  <c r="D23" i="4" s="1"/>
  <c r="D10" i="4"/>
  <c r="D11" i="4" s="1"/>
  <c r="B7" i="1"/>
  <c r="J3" i="3" l="1"/>
  <c r="K8" i="2" l="1"/>
  <c r="K6" i="2"/>
  <c r="F4" i="3"/>
  <c r="G4" i="3"/>
  <c r="H4" i="3"/>
  <c r="I4" i="3"/>
  <c r="J4" i="3"/>
  <c r="E4" i="3"/>
  <c r="F5" i="1" l="1"/>
  <c r="F5" i="3" l="1"/>
  <c r="H5" i="3"/>
  <c r="I5" i="3"/>
  <c r="J5" i="3"/>
  <c r="E5" i="3"/>
  <c r="D24" i="4"/>
  <c r="E14" i="4"/>
  <c r="E19" i="4"/>
  <c r="K3" i="3"/>
  <c r="E22" i="4" l="1"/>
  <c r="K7" i="3"/>
  <c r="K8" i="3" s="1"/>
  <c r="K4" i="3"/>
  <c r="K5" i="3"/>
  <c r="G14" i="2"/>
  <c r="H14" i="2" s="1"/>
  <c r="G13" i="2"/>
  <c r="H13" i="2" s="1"/>
  <c r="G12" i="2"/>
  <c r="G9" i="2"/>
  <c r="G11" i="2"/>
  <c r="G10" i="2"/>
  <c r="G8" i="2"/>
  <c r="G6" i="2"/>
  <c r="G5" i="2"/>
  <c r="F2" i="4"/>
  <c r="F19" i="4" s="1"/>
  <c r="F22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60" i="4"/>
  <c r="B60" i="4" s="1"/>
  <c r="C61" i="4"/>
  <c r="C62" i="4"/>
  <c r="C63" i="4"/>
  <c r="C64" i="4"/>
  <c r="C65" i="4"/>
  <c r="C66" i="4"/>
  <c r="C67" i="4"/>
  <c r="C68" i="4"/>
  <c r="C69" i="4"/>
  <c r="C60" i="4"/>
  <c r="C48" i="4"/>
  <c r="C49" i="4"/>
  <c r="C50" i="4"/>
  <c r="C51" i="4"/>
  <c r="C52" i="4"/>
  <c r="C53" i="4"/>
  <c r="C54" i="4"/>
  <c r="C55" i="4"/>
  <c r="C56" i="4"/>
  <c r="C47" i="4"/>
  <c r="A48" i="4"/>
  <c r="A49" i="4"/>
  <c r="A50" i="4"/>
  <c r="A51" i="4"/>
  <c r="A52" i="4"/>
  <c r="A53" i="4"/>
  <c r="A54" i="4"/>
  <c r="A55" i="4"/>
  <c r="A56" i="4"/>
  <c r="A47" i="4"/>
  <c r="C35" i="4"/>
  <c r="C36" i="4"/>
  <c r="C37" i="4"/>
  <c r="C38" i="4"/>
  <c r="C39" i="4"/>
  <c r="C40" i="4"/>
  <c r="C41" i="4"/>
  <c r="C42" i="4"/>
  <c r="C43" i="4"/>
  <c r="C34" i="4"/>
  <c r="J7" i="3"/>
  <c r="J8" i="3" s="1"/>
  <c r="I7" i="3"/>
  <c r="I8" i="3" s="1"/>
  <c r="H7" i="3"/>
  <c r="H8" i="3" s="1"/>
  <c r="F7" i="3"/>
  <c r="F8" i="3" s="1"/>
  <c r="K14" i="2"/>
  <c r="D27" i="3"/>
  <c r="B27" i="3"/>
  <c r="D28" i="3"/>
  <c r="B28" i="3"/>
  <c r="D29" i="3"/>
  <c r="B29" i="3"/>
  <c r="E7" i="3"/>
  <c r="E8" i="3" s="1"/>
  <c r="B21" i="3"/>
  <c r="B22" i="3"/>
  <c r="B23" i="3"/>
  <c r="B24" i="3"/>
  <c r="B25" i="3"/>
  <c r="B26" i="3"/>
  <c r="B20" i="3"/>
  <c r="D21" i="3"/>
  <c r="D22" i="3"/>
  <c r="D23" i="3"/>
  <c r="D24" i="3"/>
  <c r="D25" i="3"/>
  <c r="D26" i="3"/>
  <c r="D20" i="3"/>
  <c r="G9" i="3"/>
  <c r="D73" i="4" l="1"/>
  <c r="I14" i="3"/>
  <c r="I15" i="3"/>
  <c r="J14" i="3"/>
  <c r="J15" i="3"/>
  <c r="K14" i="3"/>
  <c r="K15" i="3"/>
  <c r="E14" i="3"/>
  <c r="E15" i="3"/>
  <c r="F14" i="3"/>
  <c r="F15" i="3"/>
  <c r="H14" i="3"/>
  <c r="H15" i="3"/>
  <c r="K9" i="3"/>
  <c r="G2" i="4"/>
  <c r="G19" i="4" s="1"/>
  <c r="G22" i="4" s="1"/>
  <c r="E9" i="3"/>
  <c r="J9" i="3"/>
  <c r="I9" i="3"/>
  <c r="H9" i="3"/>
  <c r="F9" i="3"/>
  <c r="K13" i="2"/>
  <c r="K12" i="2"/>
  <c r="H8" i="2"/>
  <c r="H10" i="2"/>
  <c r="H11" i="2"/>
  <c r="H9" i="2"/>
  <c r="H7" i="2"/>
  <c r="H6" i="2"/>
  <c r="H12" i="2"/>
  <c r="B3" i="1"/>
  <c r="D3" i="4" l="1"/>
  <c r="D7" i="4" s="1"/>
  <c r="B15" i="1"/>
  <c r="B14" i="1"/>
  <c r="B16" i="1"/>
  <c r="H5" i="2"/>
  <c r="F6" i="1" s="1"/>
  <c r="D38" i="4"/>
  <c r="L7" i="2"/>
  <c r="K7" i="2" s="1"/>
  <c r="A27" i="3" s="1"/>
  <c r="L5" i="2"/>
  <c r="K5" i="2" s="1"/>
  <c r="K10" i="2"/>
  <c r="K9" i="2"/>
  <c r="K11" i="2"/>
  <c r="H2" i="4"/>
  <c r="H19" i="4" s="1"/>
  <c r="H22" i="4" s="1"/>
  <c r="D41" i="4"/>
  <c r="D43" i="4"/>
  <c r="D42" i="4"/>
  <c r="D37" i="4"/>
  <c r="D39" i="4"/>
  <c r="C29" i="3"/>
  <c r="C23" i="3"/>
  <c r="D40" i="4"/>
  <c r="C27" i="3"/>
  <c r="D36" i="4"/>
  <c r="A29" i="3"/>
  <c r="C26" i="3"/>
  <c r="C24" i="3"/>
  <c r="C25" i="3"/>
  <c r="C22" i="3"/>
  <c r="E3" i="4" l="1"/>
  <c r="E5" i="4" s="1"/>
  <c r="D4" i="4"/>
  <c r="D5" i="4"/>
  <c r="D6" i="4"/>
  <c r="C20" i="3"/>
  <c r="F20" i="3" s="1"/>
  <c r="D34" i="4"/>
  <c r="A25" i="3"/>
  <c r="D35" i="4"/>
  <c r="C21" i="3"/>
  <c r="A36" i="4"/>
  <c r="A40" i="4"/>
  <c r="C28" i="3"/>
  <c r="A35" i="4"/>
  <c r="A43" i="4"/>
  <c r="A34" i="4"/>
  <c r="A20" i="3"/>
  <c r="D13" i="4"/>
  <c r="A41" i="4"/>
  <c r="A38" i="4"/>
  <c r="A28" i="3"/>
  <c r="A37" i="4"/>
  <c r="A42" i="4"/>
  <c r="A21" i="3"/>
  <c r="A39" i="4"/>
  <c r="A24" i="3"/>
  <c r="A23" i="3"/>
  <c r="A26" i="3"/>
  <c r="A22" i="3"/>
  <c r="I2" i="4"/>
  <c r="I19" i="4" s="1"/>
  <c r="I22" i="4" s="1"/>
  <c r="F3" i="4" l="1"/>
  <c r="F7" i="4" s="1"/>
  <c r="E7" i="4"/>
  <c r="E4" i="4"/>
  <c r="E6" i="4"/>
  <c r="D20" i="4"/>
  <c r="D21" i="4" s="1"/>
  <c r="J20" i="3"/>
  <c r="J21" i="3" s="1"/>
  <c r="J22" i="3" s="1"/>
  <c r="E72" i="4"/>
  <c r="H20" i="3"/>
  <c r="G20" i="3"/>
  <c r="I20" i="3"/>
  <c r="E20" i="3"/>
  <c r="E21" i="3" s="1"/>
  <c r="E22" i="3" s="1"/>
  <c r="K20" i="3"/>
  <c r="K21" i="3" s="1"/>
  <c r="J2" i="4"/>
  <c r="J19" i="4" s="1"/>
  <c r="J22" i="4" s="1"/>
  <c r="F21" i="3"/>
  <c r="G3" i="4" l="1"/>
  <c r="G5" i="4" s="1"/>
  <c r="H21" i="3"/>
  <c r="H22" i="3" s="1"/>
  <c r="H23" i="3" s="1"/>
  <c r="H24" i="3" s="1"/>
  <c r="H25" i="3" s="1"/>
  <c r="F4" i="4"/>
  <c r="F6" i="4"/>
  <c r="F5" i="4"/>
  <c r="F72" i="4"/>
  <c r="G6" i="4"/>
  <c r="G4" i="4"/>
  <c r="G21" i="3"/>
  <c r="G22" i="3" s="1"/>
  <c r="I21" i="3"/>
  <c r="I22" i="3" s="1"/>
  <c r="H3" i="4"/>
  <c r="G7" i="4"/>
  <c r="E9" i="4"/>
  <c r="E8" i="4" s="1"/>
  <c r="D74" i="4"/>
  <c r="D75" i="4" s="1"/>
  <c r="G72" i="4"/>
  <c r="K2" i="4"/>
  <c r="K19" i="4" s="1"/>
  <c r="K22" i="4" s="1"/>
  <c r="E23" i="3"/>
  <c r="E24" i="3" s="1"/>
  <c r="J23" i="3"/>
  <c r="J24" i="3" s="1"/>
  <c r="J25" i="3" s="1"/>
  <c r="J26" i="3" s="1"/>
  <c r="K22" i="3"/>
  <c r="F22" i="3"/>
  <c r="E12" i="4" l="1"/>
  <c r="E23" i="4" s="1"/>
  <c r="H5" i="4"/>
  <c r="H6" i="4"/>
  <c r="H4" i="4"/>
  <c r="G23" i="3"/>
  <c r="G24" i="3" s="1"/>
  <c r="G25" i="3" s="1"/>
  <c r="I23" i="3"/>
  <c r="I24" i="3" s="1"/>
  <c r="I25" i="3" s="1"/>
  <c r="H7" i="4"/>
  <c r="I3" i="4"/>
  <c r="D25" i="4"/>
  <c r="E10" i="4"/>
  <c r="E11" i="4" s="1"/>
  <c r="H72" i="4"/>
  <c r="L2" i="4"/>
  <c r="L19" i="4" s="1"/>
  <c r="L22" i="4" s="1"/>
  <c r="H26" i="3"/>
  <c r="J27" i="3"/>
  <c r="K23" i="3"/>
  <c r="K24" i="3" s="1"/>
  <c r="E25" i="3"/>
  <c r="F23" i="3"/>
  <c r="E13" i="4" l="1"/>
  <c r="I6" i="4"/>
  <c r="I5" i="4"/>
  <c r="I4" i="4"/>
  <c r="G26" i="3"/>
  <c r="G27" i="3" s="1"/>
  <c r="J3" i="4"/>
  <c r="I7" i="4"/>
  <c r="E34" i="4"/>
  <c r="E73" i="4"/>
  <c r="I72" i="4"/>
  <c r="M2" i="4"/>
  <c r="M19" i="4" s="1"/>
  <c r="M22" i="4" s="1"/>
  <c r="H27" i="3"/>
  <c r="H28" i="3" s="1"/>
  <c r="H29" i="3" s="1"/>
  <c r="H6" i="3" s="1"/>
  <c r="I26" i="3"/>
  <c r="J28" i="3"/>
  <c r="J29" i="3" s="1"/>
  <c r="K25" i="3"/>
  <c r="E26" i="3"/>
  <c r="E27" i="3" s="1"/>
  <c r="E28" i="3" s="1"/>
  <c r="E29" i="3" s="1"/>
  <c r="F24" i="3"/>
  <c r="H17" i="3" l="1"/>
  <c r="J5" i="4"/>
  <c r="J6" i="4"/>
  <c r="J4" i="4"/>
  <c r="G28" i="3"/>
  <c r="G29" i="3" s="1"/>
  <c r="G17" i="3" s="1"/>
  <c r="K3" i="4"/>
  <c r="J7" i="4"/>
  <c r="E35" i="4"/>
  <c r="E61" i="4" s="1"/>
  <c r="F48" i="4" s="1"/>
  <c r="E60" i="4"/>
  <c r="F47" i="4" s="1"/>
  <c r="J16" i="3"/>
  <c r="I27" i="3"/>
  <c r="I28" i="3" s="1"/>
  <c r="I29" i="3" s="1"/>
  <c r="I16" i="3" s="1"/>
  <c r="J72" i="4"/>
  <c r="E6" i="3"/>
  <c r="J6" i="3"/>
  <c r="N2" i="4"/>
  <c r="N19" i="4" s="1"/>
  <c r="N22" i="4" s="1"/>
  <c r="K26" i="3"/>
  <c r="K27" i="3" s="1"/>
  <c r="K28" i="3" s="1"/>
  <c r="K29" i="3" s="1"/>
  <c r="F25" i="3"/>
  <c r="F26" i="3" s="1"/>
  <c r="I17" i="3" l="1"/>
  <c r="K5" i="4"/>
  <c r="K6" i="4"/>
  <c r="K4" i="4"/>
  <c r="G6" i="3"/>
  <c r="G10" i="3"/>
  <c r="G11" i="3" s="1"/>
  <c r="L3" i="4"/>
  <c r="K7" i="4"/>
  <c r="E36" i="4"/>
  <c r="E62" i="4" s="1"/>
  <c r="F49" i="4" s="1"/>
  <c r="I6" i="3"/>
  <c r="K72" i="4"/>
  <c r="K6" i="3"/>
  <c r="O2" i="4"/>
  <c r="O19" i="4" s="1"/>
  <c r="O22" i="4" s="1"/>
  <c r="F27" i="3"/>
  <c r="F28" i="3" s="1"/>
  <c r="F29" i="3" s="1"/>
  <c r="F17" i="3" s="1"/>
  <c r="L5" i="4" l="1"/>
  <c r="L6" i="4"/>
  <c r="L4" i="4"/>
  <c r="G12" i="3"/>
  <c r="G13" i="3"/>
  <c r="L7" i="4"/>
  <c r="M3" i="4"/>
  <c r="E37" i="4"/>
  <c r="E38" i="4" s="1"/>
  <c r="E64" i="4" s="1"/>
  <c r="F51" i="4" s="1"/>
  <c r="F6" i="3"/>
  <c r="F10" i="3"/>
  <c r="L72" i="4"/>
  <c r="P2" i="4"/>
  <c r="P19" i="4" s="1"/>
  <c r="P22" i="4" s="1"/>
  <c r="M5" i="4" l="1"/>
  <c r="M6" i="4"/>
  <c r="M4" i="4"/>
  <c r="N3" i="4"/>
  <c r="M7" i="4"/>
  <c r="E63" i="4"/>
  <c r="F50" i="4" s="1"/>
  <c r="E39" i="4"/>
  <c r="E40" i="4" s="1"/>
  <c r="E66" i="4" s="1"/>
  <c r="F53" i="4" s="1"/>
  <c r="M72" i="4"/>
  <c r="Q2" i="4"/>
  <c r="Q19" i="4" s="1"/>
  <c r="Q22" i="4" s="1"/>
  <c r="N5" i="4" l="1"/>
  <c r="N6" i="4"/>
  <c r="N4" i="4"/>
  <c r="N7" i="4"/>
  <c r="O3" i="4"/>
  <c r="E41" i="4"/>
  <c r="E67" i="4" s="1"/>
  <c r="F54" i="4" s="1"/>
  <c r="E65" i="4"/>
  <c r="F52" i="4" s="1"/>
  <c r="N72" i="4"/>
  <c r="R2" i="4"/>
  <c r="R19" i="4" s="1"/>
  <c r="R22" i="4" s="1"/>
  <c r="F16" i="3"/>
  <c r="O5" i="4" l="1"/>
  <c r="O6" i="4"/>
  <c r="O4" i="4"/>
  <c r="E42" i="4"/>
  <c r="E68" i="4" s="1"/>
  <c r="O7" i="4"/>
  <c r="P3" i="4"/>
  <c r="O72" i="4"/>
  <c r="S2" i="4"/>
  <c r="S19" i="4" s="1"/>
  <c r="S22" i="4" s="1"/>
  <c r="E10" i="3"/>
  <c r="E16" i="3"/>
  <c r="I10" i="3"/>
  <c r="F13" i="3"/>
  <c r="F12" i="3"/>
  <c r="F11" i="3"/>
  <c r="P6" i="4" l="1"/>
  <c r="P5" i="4"/>
  <c r="P4" i="4"/>
  <c r="E43" i="4"/>
  <c r="E26" i="4" s="1"/>
  <c r="Q3" i="4"/>
  <c r="P7" i="4"/>
  <c r="P72" i="4"/>
  <c r="F55" i="4"/>
  <c r="T2" i="4"/>
  <c r="T19" i="4" s="1"/>
  <c r="T22" i="4" s="1"/>
  <c r="K16" i="3"/>
  <c r="K10" i="3"/>
  <c r="E11" i="3"/>
  <c r="E12" i="3"/>
  <c r="E13" i="3"/>
  <c r="J10" i="3"/>
  <c r="I13" i="3"/>
  <c r="I12" i="3"/>
  <c r="I11" i="3"/>
  <c r="G16" i="3"/>
  <c r="Q5" i="4" l="1"/>
  <c r="Q6" i="4"/>
  <c r="Q4" i="4"/>
  <c r="E69" i="4"/>
  <c r="E17" i="4" s="1"/>
  <c r="Q7" i="4"/>
  <c r="R3" i="4"/>
  <c r="Q72" i="4"/>
  <c r="U2" i="4"/>
  <c r="U19" i="4" s="1"/>
  <c r="U22" i="4" s="1"/>
  <c r="K13" i="3"/>
  <c r="K11" i="3"/>
  <c r="K12" i="3"/>
  <c r="J13" i="3"/>
  <c r="J12" i="3"/>
  <c r="J11" i="3"/>
  <c r="E15" i="4" l="1"/>
  <c r="R5" i="4"/>
  <c r="R6" i="4"/>
  <c r="R4" i="4"/>
  <c r="F56" i="4"/>
  <c r="F14" i="4" s="1"/>
  <c r="E16" i="4"/>
  <c r="E20" i="4" s="1"/>
  <c r="S3" i="4"/>
  <c r="R7" i="4"/>
  <c r="R72" i="4"/>
  <c r="V2" i="4"/>
  <c r="V19" i="4" s="1"/>
  <c r="V22" i="4" s="1"/>
  <c r="E29" i="4"/>
  <c r="E28" i="4"/>
  <c r="E27" i="4"/>
  <c r="E24" i="4" l="1"/>
  <c r="F9" i="4"/>
  <c r="F8" i="4" s="1"/>
  <c r="S5" i="4"/>
  <c r="S6" i="4"/>
  <c r="S4" i="4"/>
  <c r="E18" i="4"/>
  <c r="T3" i="4"/>
  <c r="S7" i="4"/>
  <c r="S72" i="4"/>
  <c r="W2" i="4"/>
  <c r="W19" i="4" s="1"/>
  <c r="W22" i="4" s="1"/>
  <c r="H16" i="3"/>
  <c r="H10" i="3"/>
  <c r="T5" i="4" l="1"/>
  <c r="T6" i="4"/>
  <c r="T4" i="4"/>
  <c r="E21" i="4"/>
  <c r="E25" i="4" s="1"/>
  <c r="U3" i="4"/>
  <c r="T7" i="4"/>
  <c r="F12" i="4"/>
  <c r="F23" i="4" s="1"/>
  <c r="F10" i="4"/>
  <c r="F11" i="4" s="1"/>
  <c r="T72" i="4"/>
  <c r="X2" i="4"/>
  <c r="X19" i="4" s="1"/>
  <c r="X22" i="4" s="1"/>
  <c r="H11" i="3"/>
  <c r="H13" i="3"/>
  <c r="H12" i="3"/>
  <c r="U5" i="4" l="1"/>
  <c r="U6" i="4"/>
  <c r="U4" i="4"/>
  <c r="E74" i="4"/>
  <c r="E75" i="4" s="1"/>
  <c r="V3" i="4"/>
  <c r="U7" i="4"/>
  <c r="F13" i="4"/>
  <c r="F73" i="4"/>
  <c r="U72" i="4"/>
  <c r="Y2" i="4"/>
  <c r="Y19" i="4" s="1"/>
  <c r="Y22" i="4" s="1"/>
  <c r="F34" i="4"/>
  <c r="V5" i="4" l="1"/>
  <c r="V6" i="4"/>
  <c r="V4" i="4"/>
  <c r="W3" i="4"/>
  <c r="V7" i="4"/>
  <c r="V72" i="4"/>
  <c r="F60" i="4"/>
  <c r="Z2" i="4"/>
  <c r="AA2" i="4" s="1"/>
  <c r="AB2" i="4" s="1"/>
  <c r="AC2" i="4" s="1"/>
  <c r="AD2" i="4" s="1"/>
  <c r="AE2" i="4" s="1"/>
  <c r="AF2" i="4" s="1"/>
  <c r="AG2" i="4" s="1"/>
  <c r="AH2" i="4" s="1"/>
  <c r="AI2" i="4" s="1"/>
  <c r="AJ2" i="4" s="1"/>
  <c r="AK2" i="4" s="1"/>
  <c r="AL2" i="4" s="1"/>
  <c r="AM2" i="4" s="1"/>
  <c r="AN2" i="4" s="1"/>
  <c r="AO2" i="4" s="1"/>
  <c r="AP2" i="4" s="1"/>
  <c r="AQ2" i="4" s="1"/>
  <c r="AR2" i="4" s="1"/>
  <c r="F35" i="4"/>
  <c r="F36" i="4" s="1"/>
  <c r="W5" i="4" l="1"/>
  <c r="W6" i="4"/>
  <c r="W4" i="4"/>
  <c r="W7" i="4"/>
  <c r="X3" i="4"/>
  <c r="G47" i="4"/>
  <c r="W72" i="4"/>
  <c r="F61" i="4"/>
  <c r="G48" i="4" s="1"/>
  <c r="F62" i="4"/>
  <c r="G49" i="4" s="1"/>
  <c r="F37" i="4"/>
  <c r="X5" i="4" l="1"/>
  <c r="X6" i="4"/>
  <c r="X4" i="4"/>
  <c r="Y3" i="4"/>
  <c r="X7" i="4"/>
  <c r="X72" i="4"/>
  <c r="F63" i="4"/>
  <c r="F38" i="4"/>
  <c r="Y5" i="4" l="1"/>
  <c r="Y6" i="4"/>
  <c r="Y4" i="4"/>
  <c r="Z3" i="4"/>
  <c r="Y7" i="4"/>
  <c r="G50" i="4"/>
  <c r="Y72" i="4"/>
  <c r="F64" i="4"/>
  <c r="F39" i="4"/>
  <c r="Z5" i="4" l="1"/>
  <c r="Z6" i="4"/>
  <c r="Z4" i="4"/>
  <c r="Z7" i="4"/>
  <c r="AA3" i="4"/>
  <c r="G51" i="4"/>
  <c r="Z72" i="4"/>
  <c r="F65" i="4"/>
  <c r="F40" i="4"/>
  <c r="AA5" i="4" l="1"/>
  <c r="AA6" i="4"/>
  <c r="AA4" i="4"/>
  <c r="AB3" i="4"/>
  <c r="AA7" i="4"/>
  <c r="G52" i="4"/>
  <c r="AA72" i="4"/>
  <c r="F66" i="4"/>
  <c r="G53" i="4" s="1"/>
  <c r="F41" i="4"/>
  <c r="AB5" i="4" l="1"/>
  <c r="AB6" i="4"/>
  <c r="AB4" i="4"/>
  <c r="AC3" i="4"/>
  <c r="AB7" i="4"/>
  <c r="AB72" i="4"/>
  <c r="F67" i="4"/>
  <c r="F42" i="4"/>
  <c r="AC5" i="4" l="1"/>
  <c r="AC6" i="4"/>
  <c r="AC4" i="4"/>
  <c r="AC7" i="4"/>
  <c r="AD3" i="4"/>
  <c r="G54" i="4"/>
  <c r="AC72" i="4"/>
  <c r="F68" i="4"/>
  <c r="F43" i="4"/>
  <c r="F26" i="4" s="1"/>
  <c r="AD5" i="4" l="1"/>
  <c r="AD6" i="4"/>
  <c r="AD4" i="4"/>
  <c r="AE3" i="4"/>
  <c r="AD7" i="4"/>
  <c r="F28" i="4"/>
  <c r="F29" i="4"/>
  <c r="F27" i="4"/>
  <c r="G55" i="4"/>
  <c r="AD72" i="4"/>
  <c r="F69" i="4"/>
  <c r="F15" i="4" s="1"/>
  <c r="AE5" i="4" l="1"/>
  <c r="AE6" i="4"/>
  <c r="AE4" i="4"/>
  <c r="AF3" i="4"/>
  <c r="AE7" i="4"/>
  <c r="F17" i="4"/>
  <c r="F16" i="4"/>
  <c r="F20" i="4" s="1"/>
  <c r="G56" i="4"/>
  <c r="G14" i="4" s="1"/>
  <c r="AE72" i="4"/>
  <c r="AF5" i="4" l="1"/>
  <c r="AF6" i="4"/>
  <c r="AF4" i="4"/>
  <c r="AG3" i="4"/>
  <c r="AF7" i="4"/>
  <c r="F24" i="4"/>
  <c r="F18" i="4"/>
  <c r="AF72" i="4"/>
  <c r="AG5" i="4" l="1"/>
  <c r="AG6" i="4"/>
  <c r="AG4" i="4"/>
  <c r="AH3" i="4"/>
  <c r="AG7" i="4"/>
  <c r="F21" i="4"/>
  <c r="Z19" i="4"/>
  <c r="Z22" i="4" s="1"/>
  <c r="G9" i="4"/>
  <c r="G8" i="4" s="1"/>
  <c r="AG72" i="4"/>
  <c r="AH6" i="4" l="1"/>
  <c r="AH5" i="4"/>
  <c r="AH4" i="4"/>
  <c r="AI3" i="4"/>
  <c r="AH7" i="4"/>
  <c r="F25" i="4"/>
  <c r="G12" i="4"/>
  <c r="G23" i="4" s="1"/>
  <c r="G10" i="4"/>
  <c r="G11" i="4" s="1"/>
  <c r="F74" i="4"/>
  <c r="F75" i="4" s="1"/>
  <c r="AH72" i="4"/>
  <c r="AI5" i="4" l="1"/>
  <c r="AI6" i="4"/>
  <c r="AI4" i="4"/>
  <c r="AI7" i="4"/>
  <c r="AJ3" i="4"/>
  <c r="G13" i="4"/>
  <c r="G73" i="4"/>
  <c r="AI72" i="4"/>
  <c r="G34" i="4"/>
  <c r="AJ5" i="4" l="1"/>
  <c r="AJ6" i="4"/>
  <c r="AJ4" i="4"/>
  <c r="AJ7" i="4"/>
  <c r="AK3" i="4"/>
  <c r="G60" i="4"/>
  <c r="AJ72" i="4"/>
  <c r="G35" i="4"/>
  <c r="G36" i="4" s="1"/>
  <c r="G37" i="4" s="1"/>
  <c r="AK6" i="4" l="1"/>
  <c r="AK5" i="4"/>
  <c r="AK4" i="4"/>
  <c r="AK7" i="4"/>
  <c r="AL3" i="4"/>
  <c r="H47" i="4"/>
  <c r="AK72" i="4"/>
  <c r="G61" i="4"/>
  <c r="H48" i="4" s="1"/>
  <c r="G63" i="4"/>
  <c r="H50" i="4" s="1"/>
  <c r="G62" i="4"/>
  <c r="H49" i="4" s="1"/>
  <c r="G38" i="4"/>
  <c r="G64" i="4" s="1"/>
  <c r="H51" i="4" s="1"/>
  <c r="AL5" i="4" l="1"/>
  <c r="AL6" i="4"/>
  <c r="AL4" i="4"/>
  <c r="AM3" i="4"/>
  <c r="AL7" i="4"/>
  <c r="AL72" i="4"/>
  <c r="G39" i="4"/>
  <c r="AM5" i="4" l="1"/>
  <c r="AM6" i="4"/>
  <c r="AM4" i="4"/>
  <c r="AM7" i="4"/>
  <c r="AN3" i="4"/>
  <c r="AM72" i="4"/>
  <c r="G40" i="4"/>
  <c r="G66" i="4" s="1"/>
  <c r="H53" i="4" s="1"/>
  <c r="G65" i="4"/>
  <c r="AN5" i="4" l="1"/>
  <c r="AN6" i="4"/>
  <c r="AN4" i="4"/>
  <c r="AO3" i="4"/>
  <c r="AN7" i="4"/>
  <c r="H52" i="4"/>
  <c r="AN72" i="4"/>
  <c r="G41" i="4"/>
  <c r="G67" i="4" s="1"/>
  <c r="H54" i="4" s="1"/>
  <c r="AO6" i="4" l="1"/>
  <c r="AO5" i="4"/>
  <c r="AO4" i="4"/>
  <c r="AP3" i="4"/>
  <c r="AO7" i="4"/>
  <c r="AO72" i="4"/>
  <c r="G42" i="4"/>
  <c r="G68" i="4" s="1"/>
  <c r="H55" i="4" s="1"/>
  <c r="AP5" i="4" l="1"/>
  <c r="AP6" i="4"/>
  <c r="AP4" i="4"/>
  <c r="AP7" i="4"/>
  <c r="AQ3" i="4"/>
  <c r="AP72" i="4"/>
  <c r="G43" i="4"/>
  <c r="AQ5" i="4" l="1"/>
  <c r="AQ6" i="4"/>
  <c r="AQ4" i="4"/>
  <c r="AQ7" i="4"/>
  <c r="AR3" i="4"/>
  <c r="G69" i="4"/>
  <c r="G26" i="4"/>
  <c r="AQ72" i="4"/>
  <c r="AR5" i="4" l="1"/>
  <c r="AR6" i="4"/>
  <c r="AR4" i="4"/>
  <c r="AR7" i="4"/>
  <c r="G29" i="4"/>
  <c r="G28" i="4"/>
  <c r="G27" i="4"/>
  <c r="H56" i="4"/>
  <c r="H14" i="4" s="1"/>
  <c r="G17" i="4"/>
  <c r="G16" i="4"/>
  <c r="G20" i="4" s="1"/>
  <c r="G15" i="4"/>
  <c r="AR72" i="4"/>
  <c r="G18" i="4" l="1"/>
  <c r="G24" i="4"/>
  <c r="G21" i="4" l="1"/>
  <c r="AA19" i="4"/>
  <c r="AA22" i="4" s="1"/>
  <c r="H9" i="4"/>
  <c r="H8" i="4" s="1"/>
  <c r="H10" i="4" l="1"/>
  <c r="H11" i="4" s="1"/>
  <c r="H12" i="4"/>
  <c r="H23" i="4" s="1"/>
  <c r="G25" i="4"/>
  <c r="G74" i="4"/>
  <c r="G75" i="4" s="1"/>
  <c r="H73" i="4" l="1"/>
  <c r="H34" i="4"/>
  <c r="H60" i="4" s="1"/>
  <c r="I47" i="4" s="1"/>
  <c r="H13" i="4"/>
  <c r="H35" i="4" l="1"/>
  <c r="H61" i="4" s="1"/>
  <c r="I48" i="4" s="1"/>
  <c r="H36" i="4" l="1"/>
  <c r="H37" i="4" s="1"/>
  <c r="H63" i="4" s="1"/>
  <c r="I50" i="4" s="1"/>
  <c r="H62" i="4" l="1"/>
  <c r="I49" i="4" s="1"/>
  <c r="H38" i="4"/>
  <c r="H64" i="4" s="1"/>
  <c r="I51" i="4" s="1"/>
  <c r="H39" i="4" l="1"/>
  <c r="H40" i="4" s="1"/>
  <c r="H66" i="4" s="1"/>
  <c r="I53" i="4" s="1"/>
  <c r="H65" i="4" l="1"/>
  <c r="I52" i="4" s="1"/>
  <c r="H41" i="4"/>
  <c r="H67" i="4" s="1"/>
  <c r="I54" i="4" s="1"/>
  <c r="H42" i="4" l="1"/>
  <c r="H43" i="4" s="1"/>
  <c r="H69" i="4" s="1"/>
  <c r="I56" i="4" s="1"/>
  <c r="H26" i="4" l="1"/>
  <c r="H68" i="4"/>
  <c r="I55" i="4" s="1"/>
  <c r="I14" i="4" s="1"/>
  <c r="H17" i="4" l="1"/>
  <c r="H16" i="4"/>
  <c r="H20" i="4" s="1"/>
  <c r="H15" i="4"/>
  <c r="H29" i="4"/>
  <c r="H28" i="4"/>
  <c r="H27" i="4"/>
  <c r="H18" i="4" l="1"/>
  <c r="H24" i="4"/>
  <c r="H21" i="4" l="1"/>
  <c r="AB19" i="4"/>
  <c r="AB22" i="4" s="1"/>
  <c r="I9" i="4"/>
  <c r="I8" i="4" s="1"/>
  <c r="I12" i="4" l="1"/>
  <c r="I23" i="4" s="1"/>
  <c r="I10" i="4"/>
  <c r="H25" i="4"/>
  <c r="H74" i="4"/>
  <c r="H75" i="4" s="1"/>
  <c r="I11" i="4" l="1"/>
  <c r="I13" i="4" s="1"/>
  <c r="I34" i="4"/>
  <c r="I73" i="4"/>
  <c r="I35" i="4" l="1"/>
  <c r="I61" i="4" s="1"/>
  <c r="J48" i="4" s="1"/>
  <c r="I60" i="4"/>
  <c r="J47" i="4" l="1"/>
  <c r="I36" i="4"/>
  <c r="I62" i="4" l="1"/>
  <c r="I37" i="4"/>
  <c r="I63" i="4" s="1"/>
  <c r="J50" i="4" s="1"/>
  <c r="J49" i="4" l="1"/>
  <c r="I38" i="4"/>
  <c r="I39" i="4" l="1"/>
  <c r="I40" i="4" s="1"/>
  <c r="I66" i="4" s="1"/>
  <c r="J53" i="4" s="1"/>
  <c r="I64" i="4"/>
  <c r="J51" i="4" l="1"/>
  <c r="I65" i="4"/>
  <c r="J52" i="4" s="1"/>
  <c r="I41" i="4"/>
  <c r="I67" i="4" s="1"/>
  <c r="J54" i="4" s="1"/>
  <c r="I42" i="4" l="1"/>
  <c r="I68" i="4" s="1"/>
  <c r="J55" i="4" s="1"/>
  <c r="I43" i="4" l="1"/>
  <c r="I69" i="4" s="1"/>
  <c r="I26" i="4" l="1"/>
  <c r="I27" i="4" s="1"/>
  <c r="I17" i="4"/>
  <c r="I15" i="4"/>
  <c r="J56" i="4"/>
  <c r="J14" i="4" s="1"/>
  <c r="I16" i="4"/>
  <c r="I20" i="4" s="1"/>
  <c r="I29" i="4" l="1"/>
  <c r="I28" i="4"/>
  <c r="I24" i="4"/>
  <c r="I18" i="4"/>
  <c r="AC19" i="4" l="1"/>
  <c r="AC22" i="4" s="1"/>
  <c r="I21" i="4"/>
  <c r="J9" i="4"/>
  <c r="J8" i="4" s="1"/>
  <c r="J10" i="4" l="1"/>
  <c r="J12" i="4"/>
  <c r="J23" i="4" s="1"/>
  <c r="I25" i="4"/>
  <c r="I74" i="4"/>
  <c r="I75" i="4" s="1"/>
  <c r="J11" i="4" l="1"/>
  <c r="J13" i="4" s="1"/>
  <c r="J73" i="4"/>
  <c r="J34" i="4"/>
  <c r="J35" i="4" s="1"/>
  <c r="J61" i="4" s="1"/>
  <c r="K48" i="4" s="1"/>
  <c r="J36" i="4" l="1"/>
  <c r="J37" i="4" s="1"/>
  <c r="J60" i="4"/>
  <c r="J62" i="4" l="1"/>
  <c r="K49" i="4" s="1"/>
  <c r="J38" i="4"/>
  <c r="J63" i="4"/>
  <c r="K50" i="4" s="1"/>
  <c r="K47" i="4"/>
  <c r="J64" i="4" l="1"/>
  <c r="J39" i="4"/>
  <c r="K51" i="4" l="1"/>
  <c r="J65" i="4"/>
  <c r="K52" i="4" s="1"/>
  <c r="J40" i="4"/>
  <c r="J66" i="4" s="1"/>
  <c r="K53" i="4" s="1"/>
  <c r="J41" i="4" l="1"/>
  <c r="J67" i="4" s="1"/>
  <c r="K54" i="4" s="1"/>
  <c r="J42" i="4" l="1"/>
  <c r="J43" i="4" l="1"/>
  <c r="J68" i="4"/>
  <c r="K55" i="4" l="1"/>
  <c r="J69" i="4"/>
  <c r="K56" i="4" s="1"/>
  <c r="J26" i="4"/>
  <c r="K14" i="4" l="1"/>
  <c r="J16" i="4"/>
  <c r="J20" i="4" s="1"/>
  <c r="J15" i="4"/>
  <c r="J29" i="4"/>
  <c r="J28" i="4"/>
  <c r="J27" i="4"/>
  <c r="J17" i="4"/>
  <c r="J18" i="4" l="1"/>
  <c r="J24" i="4"/>
  <c r="AD19" i="4" l="1"/>
  <c r="AD22" i="4" s="1"/>
  <c r="J21" i="4"/>
  <c r="K9" i="4"/>
  <c r="K8" i="4" s="1"/>
  <c r="K12" i="4" l="1"/>
  <c r="K23" i="4" s="1"/>
  <c r="K10" i="4"/>
  <c r="J25" i="4"/>
  <c r="J74" i="4"/>
  <c r="J75" i="4" s="1"/>
  <c r="K11" i="4" l="1"/>
  <c r="K13" i="4" s="1"/>
  <c r="K73" i="4"/>
  <c r="K34" i="4"/>
  <c r="K35" i="4" l="1"/>
  <c r="K61" i="4" s="1"/>
  <c r="L48" i="4" s="1"/>
  <c r="K60" i="4"/>
  <c r="K36" i="4" l="1"/>
  <c r="L47" i="4"/>
  <c r="K37" i="4" l="1"/>
  <c r="K62" i="4"/>
  <c r="L49" i="4" l="1"/>
  <c r="K63" i="4"/>
  <c r="L50" i="4" s="1"/>
  <c r="K38" i="4"/>
  <c r="K64" i="4" l="1"/>
  <c r="L51" i="4" s="1"/>
  <c r="K39" i="4"/>
  <c r="K65" i="4" s="1"/>
  <c r="L52" i="4" s="1"/>
  <c r="K40" i="4" l="1"/>
  <c r="K66" i="4" l="1"/>
  <c r="K41" i="4"/>
  <c r="K67" i="4" l="1"/>
  <c r="L54" i="4" s="1"/>
  <c r="K42" i="4"/>
  <c r="L53" i="4"/>
  <c r="K43" i="4" l="1"/>
  <c r="K68" i="4"/>
  <c r="L55" i="4" s="1"/>
  <c r="K69" i="4" l="1"/>
  <c r="K26" i="4"/>
  <c r="K29" i="4" l="1"/>
  <c r="K28" i="4"/>
  <c r="K27" i="4"/>
  <c r="L56" i="4"/>
  <c r="L14" i="4" s="1"/>
  <c r="K16" i="4"/>
  <c r="K20" i="4" s="1"/>
  <c r="K17" i="4"/>
  <c r="K15" i="4"/>
  <c r="K18" i="4" l="1"/>
  <c r="K24" i="4"/>
  <c r="AE19" i="4" l="1"/>
  <c r="AE22" i="4" s="1"/>
  <c r="K21" i="4"/>
  <c r="L9" i="4"/>
  <c r="L8" i="4" s="1"/>
  <c r="L10" i="4" l="1"/>
  <c r="L12" i="4"/>
  <c r="L23" i="4" s="1"/>
  <c r="K74" i="4"/>
  <c r="K75" i="4" s="1"/>
  <c r="K25" i="4"/>
  <c r="L11" i="4" l="1"/>
  <c r="L13" i="4" s="1"/>
  <c r="L34" i="4"/>
  <c r="L35" i="4" s="1"/>
  <c r="L61" i="4" s="1"/>
  <c r="M48" i="4" s="1"/>
  <c r="L73" i="4"/>
  <c r="L36" i="4" l="1"/>
  <c r="L60" i="4"/>
  <c r="M47" i="4" l="1"/>
  <c r="L62" i="4"/>
  <c r="M49" i="4" s="1"/>
  <c r="L37" i="4"/>
  <c r="L63" i="4" l="1"/>
  <c r="L38" i="4"/>
  <c r="L64" i="4" s="1"/>
  <c r="M51" i="4" s="1"/>
  <c r="L39" i="4" l="1"/>
  <c r="L65" i="4" s="1"/>
  <c r="M52" i="4" s="1"/>
  <c r="M50" i="4"/>
  <c r="L40" i="4" l="1"/>
  <c r="L66" i="4" s="1"/>
  <c r="M53" i="4" s="1"/>
  <c r="L41" i="4" l="1"/>
  <c r="L67" i="4" s="1"/>
  <c r="M54" i="4" s="1"/>
  <c r="L42" i="4" l="1"/>
  <c r="L68" i="4" s="1"/>
  <c r="M55" i="4" s="1"/>
  <c r="L43" i="4" l="1"/>
  <c r="L69" i="4" l="1"/>
  <c r="L26" i="4"/>
  <c r="L28" i="4" l="1"/>
  <c r="L29" i="4"/>
  <c r="L27" i="4"/>
  <c r="M56" i="4"/>
  <c r="M14" i="4" s="1"/>
  <c r="L16" i="4"/>
  <c r="L20" i="4" s="1"/>
  <c r="L17" i="4"/>
  <c r="L15" i="4"/>
  <c r="L18" i="4" l="1"/>
  <c r="L24" i="4"/>
  <c r="AF19" i="4" l="1"/>
  <c r="AF22" i="4" s="1"/>
  <c r="L21" i="4"/>
  <c r="M9" i="4"/>
  <c r="M8" i="4" s="1"/>
  <c r="M12" i="4" l="1"/>
  <c r="M23" i="4" s="1"/>
  <c r="M10" i="4"/>
  <c r="L74" i="4"/>
  <c r="L75" i="4" s="1"/>
  <c r="L25" i="4"/>
  <c r="M34" i="4" l="1"/>
  <c r="M35" i="4" s="1"/>
  <c r="M61" i="4" s="1"/>
  <c r="N48" i="4" s="1"/>
  <c r="M73" i="4"/>
  <c r="M11" i="4"/>
  <c r="M13" i="4" s="1"/>
  <c r="M60" i="4" l="1"/>
  <c r="N47" i="4" s="1"/>
  <c r="M36" i="4"/>
  <c r="M62" i="4" s="1"/>
  <c r="N49" i="4" s="1"/>
  <c r="M37" i="4" l="1"/>
  <c r="M63" i="4" l="1"/>
  <c r="N50" i="4" s="1"/>
  <c r="M38" i="4"/>
  <c r="M39" i="4" l="1"/>
  <c r="M64" i="4"/>
  <c r="N51" i="4" s="1"/>
  <c r="M40" i="4" l="1"/>
  <c r="M41" i="4" s="1"/>
  <c r="M67" i="4" s="1"/>
  <c r="N54" i="4" s="1"/>
  <c r="M65" i="4"/>
  <c r="N52" i="4" s="1"/>
  <c r="M66" i="4" l="1"/>
  <c r="N53" i="4" s="1"/>
  <c r="M42" i="4"/>
  <c r="M43" i="4" l="1"/>
  <c r="M69" i="4" s="1"/>
  <c r="N56" i="4" s="1"/>
  <c r="M68" i="4"/>
  <c r="M26" i="4" l="1"/>
  <c r="M27" i="4" s="1"/>
  <c r="N55" i="4"/>
  <c r="N14" i="4" s="1"/>
  <c r="M16" i="4"/>
  <c r="M20" i="4" s="1"/>
  <c r="M15" i="4"/>
  <c r="M17" i="4"/>
  <c r="M28" i="4" l="1"/>
  <c r="M29" i="4"/>
  <c r="M18" i="4"/>
  <c r="M24" i="4"/>
  <c r="M21" i="4" l="1"/>
  <c r="AG19" i="4"/>
  <c r="AG22" i="4" s="1"/>
  <c r="N9" i="4"/>
  <c r="N8" i="4" s="1"/>
  <c r="N10" i="4" l="1"/>
  <c r="N12" i="4"/>
  <c r="N23" i="4" s="1"/>
  <c r="M74" i="4"/>
  <c r="M75" i="4" s="1"/>
  <c r="M25" i="4"/>
  <c r="N73" i="4" l="1"/>
  <c r="N11" i="4"/>
  <c r="N13" i="4" s="1"/>
  <c r="N34" i="4"/>
  <c r="N60" i="4" l="1"/>
  <c r="O47" i="4" s="1"/>
  <c r="N35" i="4"/>
  <c r="N61" i="4" s="1"/>
  <c r="O48" i="4" s="1"/>
  <c r="N36" i="4" l="1"/>
  <c r="N62" i="4" l="1"/>
  <c r="O49" i="4" s="1"/>
  <c r="N37" i="4"/>
  <c r="N38" i="4" l="1"/>
  <c r="N64" i="4" s="1"/>
  <c r="O51" i="4" s="1"/>
  <c r="N63" i="4"/>
  <c r="O50" i="4" s="1"/>
  <c r="N39" i="4" l="1"/>
  <c r="N65" i="4" l="1"/>
  <c r="O52" i="4" s="1"/>
  <c r="N40" i="4"/>
  <c r="N66" i="4" l="1"/>
  <c r="N41" i="4"/>
  <c r="N42" i="4" s="1"/>
  <c r="N68" i="4" l="1"/>
  <c r="O55" i="4" s="1"/>
  <c r="N67" i="4"/>
  <c r="O54" i="4" s="1"/>
  <c r="N43" i="4"/>
  <c r="N69" i="4" s="1"/>
  <c r="O56" i="4" s="1"/>
  <c r="O53" i="4"/>
  <c r="N17" i="4" l="1"/>
  <c r="N16" i="4"/>
  <c r="N20" i="4" s="1"/>
  <c r="N15" i="4"/>
  <c r="O14" i="4"/>
  <c r="N26" i="4"/>
  <c r="N24" i="4" l="1"/>
  <c r="O9" i="4"/>
  <c r="O8" i="4" s="1"/>
  <c r="N18" i="4"/>
  <c r="N29" i="4"/>
  <c r="N28" i="4"/>
  <c r="N27" i="4"/>
  <c r="AH19" i="4" l="1"/>
  <c r="AH22" i="4" s="1"/>
  <c r="N21" i="4"/>
  <c r="N74" i="4" s="1"/>
  <c r="N75" i="4" s="1"/>
  <c r="O12" i="4"/>
  <c r="O23" i="4" s="1"/>
  <c r="O10" i="4"/>
  <c r="N25" i="4" l="1"/>
  <c r="O34" i="4"/>
  <c r="O60" i="4" s="1"/>
  <c r="P47" i="4" s="1"/>
  <c r="O73" i="4"/>
  <c r="O11" i="4"/>
  <c r="O13" i="4" s="1"/>
  <c r="O35" i="4" l="1"/>
  <c r="O61" i="4" s="1"/>
  <c r="P48" i="4" s="1"/>
  <c r="O36" i="4" l="1"/>
  <c r="O37" i="4" s="1"/>
  <c r="O63" i="4" s="1"/>
  <c r="P50" i="4" s="1"/>
  <c r="O62" i="4" l="1"/>
  <c r="P49" i="4" s="1"/>
  <c r="O38" i="4"/>
  <c r="O64" i="4" s="1"/>
  <c r="P51" i="4" s="1"/>
  <c r="O39" i="4" l="1"/>
  <c r="O65" i="4" s="1"/>
  <c r="P52" i="4" s="1"/>
  <c r="O40" i="4" l="1"/>
  <c r="O66" i="4" l="1"/>
  <c r="P53" i="4" s="1"/>
  <c r="O41" i="4"/>
  <c r="O67" i="4" s="1"/>
  <c r="P54" i="4" s="1"/>
  <c r="O42" i="4" l="1"/>
  <c r="O68" i="4" l="1"/>
  <c r="O43" i="4"/>
  <c r="O69" i="4" s="1"/>
  <c r="P56" i="4" s="1"/>
  <c r="O26" i="4" l="1"/>
  <c r="P55" i="4"/>
  <c r="P14" i="4" s="1"/>
  <c r="O15" i="4"/>
  <c r="O16" i="4"/>
  <c r="O20" i="4" s="1"/>
  <c r="O17" i="4"/>
  <c r="O18" i="4" l="1"/>
  <c r="O24" i="4"/>
  <c r="O29" i="4"/>
  <c r="O27" i="4"/>
  <c r="O28" i="4"/>
  <c r="O21" i="4" l="1"/>
  <c r="P9" i="4"/>
  <c r="P8" i="4" s="1"/>
  <c r="AI19" i="4"/>
  <c r="AI22" i="4" s="1"/>
  <c r="P12" i="4" l="1"/>
  <c r="P23" i="4" s="1"/>
  <c r="P10" i="4"/>
  <c r="O25" i="4"/>
  <c r="O74" i="4"/>
  <c r="O75" i="4" s="1"/>
  <c r="P73" i="4" l="1"/>
  <c r="P34" i="4"/>
  <c r="P11" i="4"/>
  <c r="P13" i="4" s="1"/>
  <c r="P35" i="4" l="1"/>
  <c r="P61" i="4" s="1"/>
  <c r="Q48" i="4" s="1"/>
  <c r="P60" i="4"/>
  <c r="Q47" i="4" s="1"/>
  <c r="P36" i="4" l="1"/>
  <c r="P62" i="4" s="1"/>
  <c r="Q49" i="4" s="1"/>
  <c r="P37" i="4" l="1"/>
  <c r="P63" i="4" s="1"/>
  <c r="Q50" i="4" s="1"/>
  <c r="P38" i="4" l="1"/>
  <c r="P64" i="4" s="1"/>
  <c r="Q51" i="4" s="1"/>
  <c r="P39" i="4" l="1"/>
  <c r="P65" i="4" s="1"/>
  <c r="Q52" i="4" s="1"/>
  <c r="P40" i="4" l="1"/>
  <c r="P66" i="4" s="1"/>
  <c r="Q53" i="4" s="1"/>
  <c r="P41" i="4" l="1"/>
  <c r="P42" i="4" s="1"/>
  <c r="P68" i="4" s="1"/>
  <c r="Q55" i="4" s="1"/>
  <c r="P67" i="4" l="1"/>
  <c r="P43" i="4"/>
  <c r="P69" i="4" s="1"/>
  <c r="Q56" i="4" s="1"/>
  <c r="P26" i="4" l="1"/>
  <c r="Q54" i="4"/>
  <c r="Q14" i="4" s="1"/>
  <c r="P17" i="4"/>
  <c r="P16" i="4"/>
  <c r="P20" i="4" s="1"/>
  <c r="P15" i="4"/>
  <c r="P18" i="4" l="1"/>
  <c r="P24" i="4"/>
  <c r="P28" i="4"/>
  <c r="P27" i="4"/>
  <c r="P29" i="4"/>
  <c r="AJ19" i="4" l="1"/>
  <c r="AJ22" i="4" s="1"/>
  <c r="P21" i="4"/>
  <c r="Q9" i="4"/>
  <c r="Q8" i="4" s="1"/>
  <c r="Q12" i="4" l="1"/>
  <c r="Q23" i="4" s="1"/>
  <c r="Q10" i="4"/>
  <c r="P25" i="4"/>
  <c r="P74" i="4"/>
  <c r="P75" i="4" s="1"/>
  <c r="Q73" i="4" l="1"/>
  <c r="Q11" i="4"/>
  <c r="Q13" i="4" s="1"/>
  <c r="Q34" i="4"/>
  <c r="Q35" i="4" l="1"/>
  <c r="Q61" i="4" s="1"/>
  <c r="R48" i="4" s="1"/>
  <c r="Q60" i="4"/>
  <c r="R47" i="4" s="1"/>
  <c r="Q36" i="4" l="1"/>
  <c r="Q62" i="4" s="1"/>
  <c r="R49" i="4" s="1"/>
  <c r="Q37" i="4" l="1"/>
  <c r="Q63" i="4" s="1"/>
  <c r="R50" i="4" s="1"/>
  <c r="Q38" i="4" l="1"/>
  <c r="Q39" i="4" s="1"/>
  <c r="Q65" i="4" s="1"/>
  <c r="R52" i="4" s="1"/>
  <c r="Q40" i="4" l="1"/>
  <c r="Q66" i="4" s="1"/>
  <c r="R53" i="4" s="1"/>
  <c r="Q64" i="4"/>
  <c r="R51" i="4" s="1"/>
  <c r="Q41" i="4" l="1"/>
  <c r="Q67" i="4" s="1"/>
  <c r="R54" i="4" s="1"/>
  <c r="Q42" i="4" l="1"/>
  <c r="Q68" i="4" s="1"/>
  <c r="R55" i="4" s="1"/>
  <c r="Q43" i="4" l="1"/>
  <c r="Q69" i="4" s="1"/>
  <c r="Q26" i="4" l="1"/>
  <c r="Q27" i="4" s="1"/>
  <c r="Q16" i="4"/>
  <c r="Q20" i="4" s="1"/>
  <c r="Q15" i="4"/>
  <c r="R56" i="4"/>
  <c r="R14" i="4" s="1"/>
  <c r="Q17" i="4"/>
  <c r="Q28" i="4" l="1"/>
  <c r="Q29" i="4"/>
  <c r="Q24" i="4"/>
  <c r="Q18" i="4"/>
  <c r="R9" i="4" l="1"/>
  <c r="R8" i="4" s="1"/>
  <c r="AK19" i="4"/>
  <c r="AK22" i="4" s="1"/>
  <c r="Q21" i="4"/>
  <c r="Q74" i="4" l="1"/>
  <c r="Q75" i="4" s="1"/>
  <c r="Q25" i="4"/>
  <c r="R12" i="4"/>
  <c r="R23" i="4" s="1"/>
  <c r="R10" i="4"/>
  <c r="R73" i="4" l="1"/>
  <c r="R11" i="4"/>
  <c r="R13" i="4" s="1"/>
  <c r="R34" i="4"/>
  <c r="R60" i="4" s="1"/>
  <c r="S47" i="4" s="1"/>
  <c r="R35" i="4" l="1"/>
  <c r="R61" i="4" s="1"/>
  <c r="S48" i="4" s="1"/>
  <c r="R36" i="4" l="1"/>
  <c r="R37" i="4" l="1"/>
  <c r="R63" i="4" s="1"/>
  <c r="S50" i="4" s="1"/>
  <c r="R62" i="4"/>
  <c r="S49" i="4" s="1"/>
  <c r="R38" i="4" l="1"/>
  <c r="R64" i="4" s="1"/>
  <c r="S51" i="4" s="1"/>
  <c r="R39" i="4" l="1"/>
  <c r="R65" i="4" s="1"/>
  <c r="S52" i="4" s="1"/>
  <c r="R40" i="4" l="1"/>
  <c r="R66" i="4" s="1"/>
  <c r="S53" i="4" s="1"/>
  <c r="R41" i="4" l="1"/>
  <c r="R67" i="4" s="1"/>
  <c r="S54" i="4" s="1"/>
  <c r="R42" i="4" l="1"/>
  <c r="R68" i="4" s="1"/>
  <c r="S55" i="4" s="1"/>
  <c r="R43" i="4" l="1"/>
  <c r="R26" i="4" s="1"/>
  <c r="R27" i="4" s="1"/>
  <c r="R69" i="4" l="1"/>
  <c r="R15" i="4" s="1"/>
  <c r="R29" i="4"/>
  <c r="R28" i="4"/>
  <c r="S56" i="4" l="1"/>
  <c r="S14" i="4" s="1"/>
  <c r="R17" i="4"/>
  <c r="R16" i="4"/>
  <c r="R20" i="4" s="1"/>
  <c r="R24" i="4" l="1"/>
  <c r="R18" i="4"/>
  <c r="AL19" i="4" l="1"/>
  <c r="AL22" i="4" s="1"/>
  <c r="S9" i="4"/>
  <c r="S8" i="4" s="1"/>
  <c r="R21" i="4"/>
  <c r="R25" i="4" l="1"/>
  <c r="R74" i="4"/>
  <c r="R75" i="4" s="1"/>
  <c r="S10" i="4"/>
  <c r="S12" i="4"/>
  <c r="S23" i="4" s="1"/>
  <c r="S11" i="4" l="1"/>
  <c r="S13" i="4" s="1"/>
  <c r="S73" i="4"/>
  <c r="S34" i="4"/>
  <c r="S60" i="4" l="1"/>
  <c r="T47" i="4" s="1"/>
  <c r="S35" i="4"/>
  <c r="S61" i="4" s="1"/>
  <c r="T48" i="4" s="1"/>
  <c r="S36" i="4" l="1"/>
  <c r="S62" i="4" l="1"/>
  <c r="T49" i="4" s="1"/>
  <c r="S37" i="4"/>
  <c r="S63" i="4" l="1"/>
  <c r="T50" i="4" s="1"/>
  <c r="S38" i="4"/>
  <c r="S64" i="4" l="1"/>
  <c r="T51" i="4" s="1"/>
  <c r="S39" i="4"/>
  <c r="S40" i="4" l="1"/>
  <c r="S66" i="4" s="1"/>
  <c r="T53" i="4" s="1"/>
  <c r="S65" i="4"/>
  <c r="T52" i="4" s="1"/>
  <c r="S41" i="4" l="1"/>
  <c r="S67" i="4" s="1"/>
  <c r="T54" i="4" s="1"/>
  <c r="S42" i="4" l="1"/>
  <c r="S68" i="4" s="1"/>
  <c r="T55" i="4" s="1"/>
  <c r="S43" i="4" l="1"/>
  <c r="S69" i="4" l="1"/>
  <c r="S26" i="4"/>
  <c r="S27" i="4" l="1"/>
  <c r="S29" i="4"/>
  <c r="S28" i="4"/>
  <c r="T56" i="4"/>
  <c r="T14" i="4" s="1"/>
  <c r="S16" i="4"/>
  <c r="S20" i="4" s="1"/>
  <c r="S17" i="4"/>
  <c r="S15" i="4"/>
  <c r="S24" i="4" l="1"/>
  <c r="S18" i="4"/>
  <c r="AM19" i="4" l="1"/>
  <c r="AM22" i="4" s="1"/>
  <c r="T9" i="4"/>
  <c r="T8" i="4" s="1"/>
  <c r="S21" i="4"/>
  <c r="S25" i="4" l="1"/>
  <c r="S74" i="4"/>
  <c r="S75" i="4" s="1"/>
  <c r="T10" i="4"/>
  <c r="T12" i="4"/>
  <c r="T23" i="4" s="1"/>
  <c r="T11" i="4" l="1"/>
  <c r="T13" i="4" s="1"/>
  <c r="T73" i="4"/>
  <c r="T34" i="4"/>
  <c r="T60" i="4" s="1"/>
  <c r="U47" i="4" s="1"/>
  <c r="T35" i="4" l="1"/>
  <c r="T61" i="4" l="1"/>
  <c r="U48" i="4" s="1"/>
  <c r="T36" i="4"/>
  <c r="T37" i="4" l="1"/>
  <c r="T63" i="4" s="1"/>
  <c r="U50" i="4" s="1"/>
  <c r="T62" i="4"/>
  <c r="U49" i="4" s="1"/>
  <c r="T38" i="4" l="1"/>
  <c r="T64" i="4" l="1"/>
  <c r="U51" i="4" s="1"/>
  <c r="T39" i="4"/>
  <c r="T65" i="4" l="1"/>
  <c r="U52" i="4" s="1"/>
  <c r="T40" i="4"/>
  <c r="T66" i="4" l="1"/>
  <c r="T41" i="4"/>
  <c r="T42" i="4" l="1"/>
  <c r="T43" i="4" s="1"/>
  <c r="T69" i="4" s="1"/>
  <c r="U56" i="4" s="1"/>
  <c r="T67" i="4"/>
  <c r="U53" i="4"/>
  <c r="U54" i="4" l="1"/>
  <c r="T68" i="4"/>
  <c r="T26" i="4"/>
  <c r="U55" i="4" l="1"/>
  <c r="U14" i="4" s="1"/>
  <c r="T16" i="4"/>
  <c r="T20" i="4" s="1"/>
  <c r="T15" i="4"/>
  <c r="T17" i="4"/>
  <c r="T29" i="4"/>
  <c r="T27" i="4"/>
  <c r="T28" i="4"/>
  <c r="T18" i="4" l="1"/>
  <c r="T24" i="4"/>
  <c r="U9" i="4" l="1"/>
  <c r="U8" i="4" s="1"/>
  <c r="T21" i="4"/>
  <c r="AN19" i="4"/>
  <c r="AN22" i="4" s="1"/>
  <c r="T25" i="4" l="1"/>
  <c r="T74" i="4"/>
  <c r="T75" i="4" s="1"/>
  <c r="U10" i="4"/>
  <c r="U12" i="4"/>
  <c r="U23" i="4" s="1"/>
  <c r="U34" i="4" l="1"/>
  <c r="U35" i="4" s="1"/>
  <c r="U61" i="4" s="1"/>
  <c r="V48" i="4" s="1"/>
  <c r="U11" i="4"/>
  <c r="U13" i="4" s="1"/>
  <c r="U73" i="4"/>
  <c r="U36" i="4" l="1"/>
  <c r="U62" i="4" s="1"/>
  <c r="V49" i="4" s="1"/>
  <c r="U60" i="4"/>
  <c r="V47" i="4" s="1"/>
  <c r="U37" i="4" l="1"/>
  <c r="U63" i="4" s="1"/>
  <c r="V50" i="4" s="1"/>
  <c r="U38" i="4" l="1"/>
  <c r="U39" i="4" s="1"/>
  <c r="U65" i="4" s="1"/>
  <c r="V52" i="4" s="1"/>
  <c r="U40" i="4" l="1"/>
  <c r="U66" i="4" s="1"/>
  <c r="V53" i="4" s="1"/>
  <c r="U64" i="4"/>
  <c r="V51" i="4" s="1"/>
  <c r="U41" i="4" l="1"/>
  <c r="U67" i="4" s="1"/>
  <c r="U42" i="4" l="1"/>
  <c r="U43" i="4" s="1"/>
  <c r="U69" i="4" s="1"/>
  <c r="V56" i="4" s="1"/>
  <c r="V54" i="4"/>
  <c r="U26" i="4" l="1"/>
  <c r="U27" i="4" s="1"/>
  <c r="U68" i="4"/>
  <c r="V55" i="4" s="1"/>
  <c r="V14" i="4" s="1"/>
  <c r="U29" i="4" l="1"/>
  <c r="U28" i="4"/>
  <c r="U17" i="4"/>
  <c r="U15" i="4"/>
  <c r="U16" i="4"/>
  <c r="U20" i="4" s="1"/>
  <c r="U24" i="4" l="1"/>
  <c r="V9" i="4"/>
  <c r="V8" i="4" s="1"/>
  <c r="U18" i="4"/>
  <c r="U21" i="4" l="1"/>
  <c r="U74" i="4" s="1"/>
  <c r="U75" i="4" s="1"/>
  <c r="AO19" i="4"/>
  <c r="AO22" i="4" s="1"/>
  <c r="V12" i="4"/>
  <c r="V23" i="4" s="1"/>
  <c r="V10" i="4"/>
  <c r="U25" i="4" l="1"/>
  <c r="V11" i="4"/>
  <c r="V13" i="4" s="1"/>
  <c r="V73" i="4"/>
  <c r="V34" i="4"/>
  <c r="V60" i="4" s="1"/>
  <c r="W47" i="4" s="1"/>
  <c r="V35" i="4" l="1"/>
  <c r="V61" i="4" s="1"/>
  <c r="W48" i="4" s="1"/>
  <c r="V36" i="4" l="1"/>
  <c r="V62" i="4" s="1"/>
  <c r="W49" i="4" s="1"/>
  <c r="V37" i="4" l="1"/>
  <c r="V63" i="4" s="1"/>
  <c r="W50" i="4" s="1"/>
  <c r="V38" i="4" l="1"/>
  <c r="V64" i="4" s="1"/>
  <c r="W51" i="4" s="1"/>
  <c r="V39" i="4" l="1"/>
  <c r="V40" i="4" s="1"/>
  <c r="V66" i="4" s="1"/>
  <c r="W53" i="4" s="1"/>
  <c r="V65" i="4" l="1"/>
  <c r="W52" i="4" s="1"/>
  <c r="V41" i="4"/>
  <c r="V42" i="4" s="1"/>
  <c r="V67" i="4" l="1"/>
  <c r="W54" i="4" s="1"/>
  <c r="V68" i="4"/>
  <c r="W55" i="4" s="1"/>
  <c r="V43" i="4"/>
  <c r="V69" i="4" s="1"/>
  <c r="V15" i="4" l="1"/>
  <c r="V26" i="4"/>
  <c r="V16" i="4"/>
  <c r="V20" i="4" s="1"/>
  <c r="V17" i="4"/>
  <c r="W56" i="4"/>
  <c r="W14" i="4" s="1"/>
  <c r="V24" i="4" l="1"/>
  <c r="W9" i="4"/>
  <c r="W8" i="4" s="1"/>
  <c r="V18" i="4"/>
  <c r="V28" i="4"/>
  <c r="V27" i="4"/>
  <c r="V29" i="4"/>
  <c r="AP19" i="4" l="1"/>
  <c r="AP22" i="4" s="1"/>
  <c r="V21" i="4"/>
  <c r="V74" i="4" s="1"/>
  <c r="V75" i="4" s="1"/>
  <c r="W10" i="4"/>
  <c r="W12" i="4"/>
  <c r="W23" i="4" s="1"/>
  <c r="V25" i="4" l="1"/>
  <c r="W11" i="4"/>
  <c r="W13" i="4" s="1"/>
  <c r="W34" i="4"/>
  <c r="W60" i="4" s="1"/>
  <c r="X47" i="4" s="1"/>
  <c r="W73" i="4"/>
  <c r="W35" i="4" l="1"/>
  <c r="W61" i="4" s="1"/>
  <c r="X48" i="4" s="1"/>
  <c r="W36" i="4" l="1"/>
  <c r="W37" i="4" s="1"/>
  <c r="W63" i="4" s="1"/>
  <c r="X50" i="4" s="1"/>
  <c r="W38" i="4" l="1"/>
  <c r="W62" i="4"/>
  <c r="X49" i="4" s="1"/>
  <c r="W64" i="4" l="1"/>
  <c r="X51" i="4" s="1"/>
  <c r="W39" i="4"/>
  <c r="W40" i="4" l="1"/>
  <c r="W66" i="4" s="1"/>
  <c r="X53" i="4" s="1"/>
  <c r="W65" i="4"/>
  <c r="X52" i="4" s="1"/>
  <c r="W41" i="4" l="1"/>
  <c r="W67" i="4" s="1"/>
  <c r="X54" i="4" s="1"/>
  <c r="W42" i="4" l="1"/>
  <c r="W68" i="4" s="1"/>
  <c r="X55" i="4" l="1"/>
  <c r="W43" i="4"/>
  <c r="W69" i="4" s="1"/>
  <c r="X56" i="4" s="1"/>
  <c r="W26" i="4" l="1"/>
  <c r="W28" i="4" s="1"/>
  <c r="W15" i="4"/>
  <c r="X14" i="4"/>
  <c r="W17" i="4"/>
  <c r="W16" i="4"/>
  <c r="W20" i="4" s="1"/>
  <c r="W29" i="4" l="1"/>
  <c r="W27" i="4"/>
  <c r="W18" i="4"/>
  <c r="W24" i="4"/>
  <c r="AQ19" i="4" l="1"/>
  <c r="AQ22" i="4" s="1"/>
  <c r="W21" i="4"/>
  <c r="X9" i="4"/>
  <c r="X8" i="4" s="1"/>
  <c r="X10" i="4" l="1"/>
  <c r="X12" i="4"/>
  <c r="X23" i="4" s="1"/>
  <c r="W25" i="4"/>
  <c r="W74" i="4"/>
  <c r="W75" i="4" s="1"/>
  <c r="X34" i="4" l="1"/>
  <c r="X35" i="4" s="1"/>
  <c r="X61" i="4" s="1"/>
  <c r="Y48" i="4" s="1"/>
  <c r="X73" i="4"/>
  <c r="X11" i="4"/>
  <c r="X13" i="4" s="1"/>
  <c r="X60" i="4" l="1"/>
  <c r="Y47" i="4" s="1"/>
  <c r="X36" i="4"/>
  <c r="X37" i="4" l="1"/>
  <c r="X63" i="4" s="1"/>
  <c r="Y50" i="4" s="1"/>
  <c r="X62" i="4"/>
  <c r="Y49" i="4" s="1"/>
  <c r="X38" i="4" l="1"/>
  <c r="X64" i="4" s="1"/>
  <c r="Y51" i="4" s="1"/>
  <c r="X39" i="4" l="1"/>
  <c r="X65" i="4" s="1"/>
  <c r="Y52" i="4" s="1"/>
  <c r="X40" i="4" l="1"/>
  <c r="X66" i="4" s="1"/>
  <c r="Y53" i="4" s="1"/>
  <c r="X41" i="4" l="1"/>
  <c r="X67" i="4" s="1"/>
  <c r="Y54" i="4" s="1"/>
  <c r="X42" i="4" l="1"/>
  <c r="X43" i="4" s="1"/>
  <c r="X68" i="4" l="1"/>
  <c r="Y55" i="4" s="1"/>
  <c r="X26" i="4"/>
  <c r="X69" i="4"/>
  <c r="X17" i="4" l="1"/>
  <c r="X15" i="4"/>
  <c r="Y56" i="4"/>
  <c r="Y14" i="4" s="1"/>
  <c r="X16" i="4"/>
  <c r="X20" i="4" s="1"/>
  <c r="X28" i="4"/>
  <c r="X27" i="4"/>
  <c r="X29" i="4"/>
  <c r="X24" i="4" l="1"/>
  <c r="X18" i="4"/>
  <c r="X21" i="4" l="1"/>
  <c r="Y9" i="4"/>
  <c r="Y8" i="4" s="1"/>
  <c r="AR19" i="4"/>
  <c r="AR22" i="4" s="1"/>
  <c r="Y12" i="4" l="1"/>
  <c r="Y23" i="4" s="1"/>
  <c r="Y10" i="4"/>
  <c r="X25" i="4"/>
  <c r="X74" i="4"/>
  <c r="X75" i="4" s="1"/>
  <c r="Y11" i="4" l="1"/>
  <c r="Y13" i="4" s="1"/>
  <c r="Y73" i="4"/>
  <c r="Y34" i="4"/>
  <c r="Y60" i="4" s="1"/>
  <c r="Z47" i="4" s="1"/>
  <c r="Y35" i="4" l="1"/>
  <c r="Y36" i="4" l="1"/>
  <c r="Y62" i="4" s="1"/>
  <c r="Z49" i="4" s="1"/>
  <c r="Y61" i="4"/>
  <c r="Z48" i="4" s="1"/>
  <c r="Y37" i="4" l="1"/>
  <c r="Y63" i="4" s="1"/>
  <c r="Z50" i="4" s="1"/>
  <c r="Y38" i="4" l="1"/>
  <c r="Y64" i="4" s="1"/>
  <c r="Z51" i="4" s="1"/>
  <c r="Y39" i="4" l="1"/>
  <c r="Y40" i="4" s="1"/>
  <c r="Y65" i="4" l="1"/>
  <c r="Z52" i="4" s="1"/>
  <c r="Y66" i="4"/>
  <c r="Z53" i="4" s="1"/>
  <c r="Y41" i="4"/>
  <c r="Y67" i="4" s="1"/>
  <c r="Z54" i="4" s="1"/>
  <c r="Y42" i="4" l="1"/>
  <c r="Y68" i="4" s="1"/>
  <c r="Y43" i="4" l="1"/>
  <c r="Z55" i="4"/>
  <c r="Y69" i="4" l="1"/>
  <c r="Y26" i="4"/>
  <c r="Y29" i="4" l="1"/>
  <c r="Y28" i="4"/>
  <c r="Y27" i="4"/>
  <c r="Z56" i="4"/>
  <c r="Z14" i="4" s="1"/>
  <c r="Y15" i="4"/>
  <c r="Y17" i="4"/>
  <c r="Y16" i="4"/>
  <c r="Y20" i="4" s="1"/>
  <c r="Y18" i="4" l="1"/>
  <c r="Y24" i="4"/>
  <c r="Y21" i="4" l="1"/>
  <c r="Z9" i="4"/>
  <c r="Z8" i="4" s="1"/>
  <c r="Z10" i="4" l="1"/>
  <c r="Z12" i="4"/>
  <c r="Z23" i="4" s="1"/>
  <c r="Y74" i="4"/>
  <c r="Y75" i="4" s="1"/>
  <c r="Y25" i="4"/>
  <c r="Z73" i="4" l="1"/>
  <c r="Z34" i="4"/>
  <c r="Z11" i="4"/>
  <c r="Z13" i="4" s="1"/>
  <c r="Z60" i="4" l="1"/>
  <c r="AA47" i="4" s="1"/>
  <c r="Z35" i="4"/>
  <c r="Z61" i="4" s="1"/>
  <c r="AA48" i="4" s="1"/>
  <c r="Z36" i="4" l="1"/>
  <c r="Z37" i="4" l="1"/>
  <c r="Z63" i="4" s="1"/>
  <c r="AA50" i="4" s="1"/>
  <c r="Z62" i="4"/>
  <c r="AA49" i="4" s="1"/>
  <c r="Z38" i="4" l="1"/>
  <c r="Z39" i="4" l="1"/>
  <c r="Z65" i="4" s="1"/>
  <c r="AA52" i="4" s="1"/>
  <c r="Z64" i="4"/>
  <c r="AA51" i="4" s="1"/>
  <c r="Z40" i="4" l="1"/>
  <c r="Z66" i="4" s="1"/>
  <c r="AA53" i="4" s="1"/>
  <c r="Z41" i="4" l="1"/>
  <c r="Z67" i="4" s="1"/>
  <c r="AA54" i="4" s="1"/>
  <c r="Z42" i="4" l="1"/>
  <c r="Z68" i="4" s="1"/>
  <c r="AA55" i="4" s="1"/>
  <c r="Z43" i="4" l="1"/>
  <c r="Z69" i="4" s="1"/>
  <c r="Z26" i="4" l="1"/>
  <c r="Z27" i="4" s="1"/>
  <c r="AA56" i="4"/>
  <c r="AA14" i="4" s="1"/>
  <c r="Z16" i="4"/>
  <c r="Z20" i="4" s="1"/>
  <c r="Z15" i="4"/>
  <c r="Z17" i="4"/>
  <c r="Z29" i="4" l="1"/>
  <c r="Z28" i="4"/>
  <c r="Z24" i="4"/>
  <c r="Z18" i="4"/>
  <c r="Z21" i="4" l="1"/>
  <c r="AA9" i="4"/>
  <c r="AA8" i="4" s="1"/>
  <c r="AA12" i="4" l="1"/>
  <c r="AA23" i="4" s="1"/>
  <c r="AA10" i="4"/>
  <c r="Z25" i="4"/>
  <c r="Z74" i="4"/>
  <c r="Z75" i="4" s="1"/>
  <c r="AA73" i="4" l="1"/>
  <c r="AA11" i="4"/>
  <c r="AA13" i="4" s="1"/>
  <c r="AA34" i="4"/>
  <c r="AA60" i="4" l="1"/>
  <c r="AB47" i="4" s="1"/>
  <c r="AA35" i="4"/>
  <c r="AA61" i="4" s="1"/>
  <c r="AB48" i="4" s="1"/>
  <c r="AA36" i="4" l="1"/>
  <c r="AA37" i="4" s="1"/>
  <c r="AA63" i="4" s="1"/>
  <c r="AB50" i="4" s="1"/>
  <c r="AA38" i="4" l="1"/>
  <c r="AA64" i="4" s="1"/>
  <c r="AB51" i="4" s="1"/>
  <c r="AA62" i="4"/>
  <c r="AB49" i="4" s="1"/>
  <c r="AA39" i="4" l="1"/>
  <c r="AA65" i="4" s="1"/>
  <c r="AB52" i="4" s="1"/>
  <c r="AA40" i="4" l="1"/>
  <c r="AA66" i="4" l="1"/>
  <c r="AB53" i="4" s="1"/>
  <c r="AA41" i="4"/>
  <c r="AA67" i="4" l="1"/>
  <c r="AB54" i="4" s="1"/>
  <c r="AA42" i="4"/>
  <c r="AA43" i="4" l="1"/>
  <c r="AA69" i="4" s="1"/>
  <c r="AB56" i="4" s="1"/>
  <c r="AA68" i="4"/>
  <c r="AB55" i="4" s="1"/>
  <c r="AB14" i="4" l="1"/>
  <c r="AA26" i="4"/>
  <c r="AA28" i="4" s="1"/>
  <c r="AA17" i="4"/>
  <c r="AA16" i="4"/>
  <c r="AA20" i="4" s="1"/>
  <c r="AA15" i="4"/>
  <c r="AA18" i="4" l="1"/>
  <c r="AA27" i="4"/>
  <c r="AA29" i="4"/>
  <c r="AA24" i="4"/>
  <c r="AA21" i="4" l="1"/>
  <c r="AB9" i="4"/>
  <c r="AB8" i="4" s="1"/>
  <c r="AB12" i="4" l="1"/>
  <c r="AB23" i="4" s="1"/>
  <c r="AB10" i="4"/>
  <c r="AA74" i="4"/>
  <c r="AA75" i="4" s="1"/>
  <c r="AA25" i="4"/>
  <c r="AB11" i="4" l="1"/>
  <c r="AB13" i="4" s="1"/>
  <c r="AB34" i="4"/>
  <c r="AB73" i="4"/>
  <c r="AB60" i="4" l="1"/>
  <c r="AC47" i="4" s="1"/>
  <c r="AB35" i="4"/>
  <c r="AB61" i="4" s="1"/>
  <c r="AC48" i="4" s="1"/>
  <c r="AB36" i="4" l="1"/>
  <c r="AB62" i="4" l="1"/>
  <c r="AC49" i="4" s="1"/>
  <c r="AB37" i="4"/>
  <c r="AB38" i="4" l="1"/>
  <c r="AB63" i="4"/>
  <c r="AC50" i="4" s="1"/>
  <c r="AB64" i="4" l="1"/>
  <c r="AC51" i="4" s="1"/>
  <c r="AB39" i="4"/>
  <c r="AB40" i="4" l="1"/>
  <c r="AB66" i="4" s="1"/>
  <c r="AC53" i="4" s="1"/>
  <c r="AB65" i="4"/>
  <c r="AC52" i="4" s="1"/>
  <c r="AB41" i="4" l="1"/>
  <c r="AB67" i="4" s="1"/>
  <c r="AC54" i="4" s="1"/>
  <c r="AB42" i="4" l="1"/>
  <c r="AB68" i="4" s="1"/>
  <c r="AC55" i="4" s="1"/>
  <c r="AB43" i="4" l="1"/>
  <c r="AB69" i="4" s="1"/>
  <c r="AB26" i="4" l="1"/>
  <c r="AB28" i="4" s="1"/>
  <c r="AB15" i="4"/>
  <c r="AC56" i="4"/>
  <c r="AC14" i="4" s="1"/>
  <c r="AB17" i="4"/>
  <c r="AB16" i="4"/>
  <c r="AB20" i="4" s="1"/>
  <c r="AB27" i="4" l="1"/>
  <c r="AB29" i="4"/>
  <c r="AB18" i="4"/>
  <c r="AB24" i="4"/>
  <c r="AC9" i="4" l="1"/>
  <c r="AC8" i="4" s="1"/>
  <c r="AB21" i="4"/>
  <c r="AB74" i="4" l="1"/>
  <c r="AB75" i="4" s="1"/>
  <c r="AB25" i="4"/>
  <c r="AC10" i="4"/>
  <c r="AC12" i="4"/>
  <c r="AC23" i="4" s="1"/>
  <c r="AC11" i="4" l="1"/>
  <c r="AC13" i="4" s="1"/>
  <c r="AC73" i="4"/>
  <c r="AC34" i="4"/>
  <c r="AC60" i="4" s="1"/>
  <c r="AD47" i="4" s="1"/>
  <c r="AC35" i="4" l="1"/>
  <c r="AC61" i="4" l="1"/>
  <c r="AD48" i="4" s="1"/>
  <c r="AC36" i="4"/>
  <c r="AC37" i="4" l="1"/>
  <c r="AC63" i="4" s="1"/>
  <c r="AD50" i="4" s="1"/>
  <c r="AC62" i="4"/>
  <c r="AD49" i="4" s="1"/>
  <c r="AC38" i="4" l="1"/>
  <c r="AC64" i="4" l="1"/>
  <c r="AD51" i="4" s="1"/>
  <c r="AC39" i="4"/>
  <c r="AC65" i="4" l="1"/>
  <c r="AD52" i="4" s="1"/>
  <c r="AC40" i="4"/>
  <c r="AC41" i="4" l="1"/>
  <c r="AC66" i="4"/>
  <c r="AD53" i="4" s="1"/>
  <c r="AC67" i="4" l="1"/>
  <c r="AC42" i="4"/>
  <c r="AC68" i="4" l="1"/>
  <c r="AC43" i="4"/>
  <c r="AC69" i="4" s="1"/>
  <c r="AD56" i="4" s="1"/>
  <c r="AD54" i="4"/>
  <c r="AC26" i="4" l="1"/>
  <c r="AC27" i="4" s="1"/>
  <c r="AC16" i="4"/>
  <c r="AC20" i="4" s="1"/>
  <c r="AC15" i="4"/>
  <c r="AD55" i="4"/>
  <c r="AD14" i="4" s="1"/>
  <c r="AC17" i="4"/>
  <c r="AC24" i="4" l="1"/>
  <c r="AD9" i="4"/>
  <c r="AD8" i="4" s="1"/>
  <c r="AC18" i="4"/>
  <c r="AC28" i="4"/>
  <c r="AC29" i="4"/>
  <c r="AC21" i="4" l="1"/>
  <c r="AC74" i="4" s="1"/>
  <c r="AC75" i="4" s="1"/>
  <c r="AD12" i="4"/>
  <c r="AD23" i="4" s="1"/>
  <c r="AD10" i="4"/>
  <c r="AC25" i="4" l="1"/>
  <c r="AD73" i="4"/>
  <c r="AD11" i="4"/>
  <c r="AD13" i="4" s="1"/>
  <c r="AD34" i="4"/>
  <c r="AD35" i="4" l="1"/>
  <c r="AD61" i="4" s="1"/>
  <c r="AE48" i="4" s="1"/>
  <c r="AD60" i="4"/>
  <c r="AE47" i="4" s="1"/>
  <c r="AD36" i="4" l="1"/>
  <c r="AD62" i="4" s="1"/>
  <c r="AE49" i="4" s="1"/>
  <c r="AD37" i="4" l="1"/>
  <c r="AD38" i="4" s="1"/>
  <c r="AD64" i="4" l="1"/>
  <c r="AE51" i="4" s="1"/>
  <c r="AD63" i="4"/>
  <c r="AE50" i="4" s="1"/>
  <c r="AD39" i="4"/>
  <c r="AD65" i="4" s="1"/>
  <c r="AE52" i="4" s="1"/>
  <c r="AD40" i="4" l="1"/>
  <c r="AD66" i="4" l="1"/>
  <c r="AE53" i="4" s="1"/>
  <c r="AD41" i="4"/>
  <c r="AD67" i="4" l="1"/>
  <c r="AE54" i="4" s="1"/>
  <c r="AD42" i="4"/>
  <c r="AD68" i="4" l="1"/>
  <c r="AE55" i="4" s="1"/>
  <c r="AD43" i="4"/>
  <c r="AD26" i="4" l="1"/>
  <c r="AD69" i="4"/>
  <c r="AD16" i="4" l="1"/>
  <c r="AD20" i="4" s="1"/>
  <c r="AE56" i="4"/>
  <c r="AE14" i="4" s="1"/>
  <c r="AD17" i="4"/>
  <c r="AD15" i="4"/>
  <c r="AD27" i="4"/>
  <c r="AD28" i="4"/>
  <c r="AD29" i="4"/>
  <c r="AD24" i="4" l="1"/>
  <c r="AD18" i="4"/>
  <c r="AE9" i="4" l="1"/>
  <c r="AE8" i="4" s="1"/>
  <c r="AD21" i="4"/>
  <c r="AD25" i="4" l="1"/>
  <c r="AD74" i="4"/>
  <c r="AD75" i="4" s="1"/>
  <c r="AE10" i="4"/>
  <c r="AE12" i="4"/>
  <c r="AE23" i="4" s="1"/>
  <c r="AE34" i="4" l="1"/>
  <c r="AE73" i="4"/>
  <c r="AE11" i="4"/>
  <c r="AE13" i="4" s="1"/>
  <c r="AE60" i="4" l="1"/>
  <c r="AF47" i="4" s="1"/>
  <c r="AE35" i="4"/>
  <c r="AE61" i="4" l="1"/>
  <c r="AF48" i="4" s="1"/>
  <c r="AE36" i="4"/>
  <c r="AE62" i="4" s="1"/>
  <c r="AF49" i="4" s="1"/>
  <c r="AE37" i="4" l="1"/>
  <c r="AE63" i="4" l="1"/>
  <c r="AF50" i="4" s="1"/>
  <c r="AE38" i="4"/>
  <c r="AE64" i="4" s="1"/>
  <c r="AF51" i="4" s="1"/>
  <c r="AE39" i="4" l="1"/>
  <c r="AE65" i="4" l="1"/>
  <c r="AF52" i="4" s="1"/>
  <c r="AE40" i="4"/>
  <c r="AE66" i="4" s="1"/>
  <c r="AF53" i="4" s="1"/>
  <c r="AE41" i="4" l="1"/>
  <c r="AE67" i="4" s="1"/>
  <c r="AF54" i="4" s="1"/>
  <c r="AE42" i="4" l="1"/>
  <c r="AE43" i="4" s="1"/>
  <c r="AE69" i="4" s="1"/>
  <c r="AF56" i="4" s="1"/>
  <c r="AE68" i="4" l="1"/>
  <c r="AE26" i="4"/>
  <c r="AE28" i="4" l="1"/>
  <c r="AE29" i="4"/>
  <c r="AE27" i="4"/>
  <c r="AF55" i="4"/>
  <c r="AF14" i="4" s="1"/>
  <c r="AE17" i="4"/>
  <c r="AE16" i="4"/>
  <c r="AE20" i="4" s="1"/>
  <c r="AE15" i="4"/>
  <c r="AE24" i="4" l="1"/>
  <c r="AE18" i="4"/>
  <c r="AF9" i="4" l="1"/>
  <c r="AF8" i="4" s="1"/>
  <c r="AE21" i="4"/>
  <c r="AE25" i="4" l="1"/>
  <c r="AE74" i="4"/>
  <c r="AE75" i="4" s="1"/>
  <c r="AF10" i="4"/>
  <c r="AF12" i="4"/>
  <c r="AF23" i="4" s="1"/>
  <c r="AF73" i="4" l="1"/>
  <c r="AF11" i="4"/>
  <c r="AF13" i="4" s="1"/>
  <c r="AF34" i="4"/>
  <c r="AF35" i="4" l="1"/>
  <c r="AF36" i="4" s="1"/>
  <c r="AF62" i="4" s="1"/>
  <c r="AG49" i="4" s="1"/>
  <c r="AF60" i="4"/>
  <c r="AG47" i="4" s="1"/>
  <c r="AF61" i="4" l="1"/>
  <c r="AG48" i="4" s="1"/>
  <c r="AF37" i="4"/>
  <c r="AF63" i="4" s="1"/>
  <c r="AG50" i="4" s="1"/>
  <c r="AF38" i="4" l="1"/>
  <c r="AF39" i="4" s="1"/>
  <c r="AF65" i="4" s="1"/>
  <c r="AG52" i="4" s="1"/>
  <c r="AF64" i="4" l="1"/>
  <c r="AG51" i="4" s="1"/>
  <c r="AF40" i="4"/>
  <c r="AF66" i="4" s="1"/>
  <c r="AG53" i="4" s="1"/>
  <c r="AF41" i="4" l="1"/>
  <c r="AF67" i="4" s="1"/>
  <c r="AG54" i="4" s="1"/>
  <c r="AF42" i="4" l="1"/>
  <c r="AF43" i="4" s="1"/>
  <c r="AF69" i="4" s="1"/>
  <c r="AG56" i="4" l="1"/>
  <c r="AF68" i="4"/>
  <c r="AF16" i="4" s="1"/>
  <c r="AF20" i="4" s="1"/>
  <c r="AF26" i="4"/>
  <c r="AF29" i="4" l="1"/>
  <c r="AF28" i="4"/>
  <c r="AF27" i="4"/>
  <c r="AG55" i="4"/>
  <c r="AG14" i="4" s="1"/>
  <c r="AF17" i="4"/>
  <c r="AF18" i="4" s="1"/>
  <c r="AF15" i="4"/>
  <c r="AF24" i="4"/>
  <c r="AG9" i="4" l="1"/>
  <c r="AG8" i="4" s="1"/>
  <c r="AF21" i="4"/>
  <c r="AF25" i="4" l="1"/>
  <c r="AF74" i="4"/>
  <c r="AF75" i="4" s="1"/>
  <c r="AG12" i="4"/>
  <c r="AG23" i="4" s="1"/>
  <c r="AG10" i="4"/>
  <c r="AG11" i="4" l="1"/>
  <c r="AG13" i="4" s="1"/>
  <c r="AG34" i="4"/>
  <c r="AG60" i="4" s="1"/>
  <c r="AH47" i="4" s="1"/>
  <c r="AG73" i="4"/>
  <c r="AG35" i="4" l="1"/>
  <c r="AG61" i="4" s="1"/>
  <c r="AH48" i="4" s="1"/>
  <c r="AG36" i="4" l="1"/>
  <c r="AG37" i="4" s="1"/>
  <c r="AG62" i="4" l="1"/>
  <c r="AH49" i="4" s="1"/>
  <c r="AG63" i="4"/>
  <c r="AH50" i="4" s="1"/>
  <c r="AG38" i="4"/>
  <c r="AG39" i="4" s="1"/>
  <c r="AG40" i="4" l="1"/>
  <c r="AG66" i="4" s="1"/>
  <c r="AH53" i="4" s="1"/>
  <c r="AG65" i="4"/>
  <c r="AH52" i="4" s="1"/>
  <c r="AG64" i="4"/>
  <c r="AH51" i="4" s="1"/>
  <c r="AG41" i="4" l="1"/>
  <c r="AG67" i="4" s="1"/>
  <c r="AH54" i="4" s="1"/>
  <c r="AG42" i="4" l="1"/>
  <c r="AG68" i="4" s="1"/>
  <c r="AG43" i="4" l="1"/>
  <c r="AG69" i="4" s="1"/>
  <c r="AG17" i="4" s="1"/>
  <c r="AH55" i="4"/>
  <c r="AG26" i="4" l="1"/>
  <c r="AG27" i="4" s="1"/>
  <c r="AG16" i="4"/>
  <c r="AG20" i="4" s="1"/>
  <c r="AG15" i="4"/>
  <c r="AH56" i="4"/>
  <c r="AH14" i="4" s="1"/>
  <c r="AG29" i="4" l="1"/>
  <c r="AG28" i="4"/>
  <c r="AG18" i="4"/>
  <c r="AG24" i="4"/>
  <c r="AG21" i="4"/>
  <c r="AH9" i="4"/>
  <c r="AH8" i="4" s="1"/>
  <c r="AH12" i="4" l="1"/>
  <c r="AH23" i="4" s="1"/>
  <c r="AH10" i="4"/>
  <c r="AG25" i="4"/>
  <c r="AG74" i="4"/>
  <c r="AG75" i="4" s="1"/>
  <c r="AH73" i="4" l="1"/>
  <c r="AH34" i="4"/>
  <c r="AH11" i="4"/>
  <c r="AH13" i="4" s="1"/>
  <c r="AH60" i="4" l="1"/>
  <c r="AI47" i="4" s="1"/>
  <c r="AH35" i="4"/>
  <c r="AH61" i="4" l="1"/>
  <c r="AI48" i="4" s="1"/>
  <c r="AH36" i="4"/>
  <c r="AH62" i="4" s="1"/>
  <c r="AI49" i="4" s="1"/>
  <c r="AH37" i="4" l="1"/>
  <c r="AH38" i="4" l="1"/>
  <c r="AH63" i="4"/>
  <c r="AI50" i="4" s="1"/>
  <c r="AH64" i="4" l="1"/>
  <c r="AI51" i="4" s="1"/>
  <c r="AH39" i="4"/>
  <c r="AH65" i="4" l="1"/>
  <c r="AH40" i="4"/>
  <c r="AH41" i="4" l="1"/>
  <c r="AH66" i="4"/>
  <c r="AI53" i="4" s="1"/>
  <c r="AI52" i="4"/>
  <c r="AH42" i="4" l="1"/>
  <c r="AH67" i="4"/>
  <c r="AI54" i="4" l="1"/>
  <c r="AH68" i="4"/>
  <c r="AI55" i="4" s="1"/>
  <c r="AH43" i="4"/>
  <c r="AH69" i="4" s="1"/>
  <c r="AH17" i="4" l="1"/>
  <c r="AH26" i="4"/>
  <c r="AH27" i="4" s="1"/>
  <c r="AH16" i="4"/>
  <c r="AH20" i="4" s="1"/>
  <c r="AI56" i="4"/>
  <c r="AI14" i="4" s="1"/>
  <c r="AH15" i="4"/>
  <c r="AH28" i="4" l="1"/>
  <c r="AH29" i="4"/>
  <c r="AH24" i="4"/>
  <c r="AH18" i="4"/>
  <c r="AH21" i="4" l="1"/>
  <c r="AI9" i="4"/>
  <c r="AI8" i="4" s="1"/>
  <c r="AI12" i="4" l="1"/>
  <c r="AI23" i="4" s="1"/>
  <c r="AI10" i="4"/>
  <c r="AH74" i="4"/>
  <c r="AH75" i="4" s="1"/>
  <c r="AH25" i="4"/>
  <c r="AI34" i="4" l="1"/>
  <c r="AI35" i="4" s="1"/>
  <c r="AI61" i="4" s="1"/>
  <c r="AJ48" i="4" s="1"/>
  <c r="AI11" i="4"/>
  <c r="AI13" i="4" s="1"/>
  <c r="AI73" i="4"/>
  <c r="AI36" i="4" l="1"/>
  <c r="AI60" i="4"/>
  <c r="AJ47" i="4" s="1"/>
  <c r="AI37" i="4" l="1"/>
  <c r="AI38" i="4" s="1"/>
  <c r="AI64" i="4" s="1"/>
  <c r="AJ51" i="4" s="1"/>
  <c r="AI62" i="4"/>
  <c r="AJ49" i="4" s="1"/>
  <c r="AI39" i="4" l="1"/>
  <c r="AI40" i="4" s="1"/>
  <c r="AI66" i="4" s="1"/>
  <c r="AJ53" i="4" s="1"/>
  <c r="AI63" i="4"/>
  <c r="AJ50" i="4" s="1"/>
  <c r="AI41" i="4" l="1"/>
  <c r="AI65" i="4"/>
  <c r="AJ52" i="4" l="1"/>
  <c r="AI67" i="4"/>
  <c r="AJ54" i="4" s="1"/>
  <c r="AI42" i="4"/>
  <c r="AI43" i="4" l="1"/>
  <c r="AI69" i="4" s="1"/>
  <c r="AJ56" i="4" s="1"/>
  <c r="AI68" i="4"/>
  <c r="AJ55" i="4" s="1"/>
  <c r="AJ14" i="4" l="1"/>
  <c r="AI15" i="4"/>
  <c r="AI16" i="4"/>
  <c r="AI20" i="4" s="1"/>
  <c r="AI26" i="4"/>
  <c r="AI28" i="4" s="1"/>
  <c r="AI17" i="4"/>
  <c r="AI24" i="4" l="1"/>
  <c r="AI21" i="4"/>
  <c r="AI29" i="4"/>
  <c r="AI27" i="4"/>
  <c r="AI18" i="4"/>
  <c r="AJ9" i="4" l="1"/>
  <c r="AJ8" i="4" s="1"/>
  <c r="AI74" i="4"/>
  <c r="AI75" i="4" s="1"/>
  <c r="AI25" i="4"/>
  <c r="AJ12" i="4" l="1"/>
  <c r="AJ23" i="4" s="1"/>
  <c r="AJ10" i="4"/>
  <c r="AJ11" i="4" s="1"/>
  <c r="AJ13" i="4" l="1"/>
  <c r="AJ73" i="4"/>
  <c r="AJ34" i="4"/>
  <c r="AJ35" i="4" s="1"/>
  <c r="AJ61" i="4" s="1"/>
  <c r="AK48" i="4" s="1"/>
  <c r="AJ36" i="4" l="1"/>
  <c r="AJ62" i="4" s="1"/>
  <c r="AK49" i="4" s="1"/>
  <c r="AJ60" i="4"/>
  <c r="AK47" i="4" s="1"/>
  <c r="AJ37" i="4" l="1"/>
  <c r="AJ63" i="4" s="1"/>
  <c r="AK50" i="4" s="1"/>
  <c r="AJ38" i="4" l="1"/>
  <c r="AJ39" i="4" s="1"/>
  <c r="AJ40" i="4" s="1"/>
  <c r="AJ66" i="4" s="1"/>
  <c r="AK53" i="4" s="1"/>
  <c r="AJ64" i="4" l="1"/>
  <c r="AK51" i="4" s="1"/>
  <c r="AJ41" i="4"/>
  <c r="AJ67" i="4" s="1"/>
  <c r="AK54" i="4" s="1"/>
  <c r="AJ65" i="4"/>
  <c r="AK52" i="4" s="1"/>
  <c r="AJ42" i="4" l="1"/>
  <c r="AJ43" i="4" s="1"/>
  <c r="AJ69" i="4" s="1"/>
  <c r="AK56" i="4" s="1"/>
  <c r="AJ68" i="4" l="1"/>
  <c r="AJ15" i="4" s="1"/>
  <c r="AJ26" i="4"/>
  <c r="AJ28" i="4" s="1"/>
  <c r="AJ16" i="4" l="1"/>
  <c r="AJ20" i="4" s="1"/>
  <c r="AJ17" i="4"/>
  <c r="AK55" i="4"/>
  <c r="AK14" i="4" s="1"/>
  <c r="AJ29" i="4"/>
  <c r="AJ27" i="4"/>
  <c r="AJ18" i="4" l="1"/>
  <c r="AJ21" i="4"/>
  <c r="AJ24" i="4"/>
  <c r="AK9" i="4" l="1"/>
  <c r="AK8" i="4" s="1"/>
  <c r="AJ74" i="4"/>
  <c r="AJ75" i="4" s="1"/>
  <c r="AJ25" i="4"/>
  <c r="AK10" i="4" l="1"/>
  <c r="AK34" i="4" s="1"/>
  <c r="AK60" i="4" s="1"/>
  <c r="AL47" i="4" s="1"/>
  <c r="AK12" i="4"/>
  <c r="AK23" i="4" s="1"/>
  <c r="AK73" i="4" l="1"/>
  <c r="AK11" i="4"/>
  <c r="AK13" i="4" s="1"/>
  <c r="AK35" i="4"/>
  <c r="AK61" i="4" s="1"/>
  <c r="AL48" i="4" s="1"/>
  <c r="AK36" i="4" l="1"/>
  <c r="AK62" i="4" s="1"/>
  <c r="AL49" i="4" s="1"/>
  <c r="AK37" i="4" l="1"/>
  <c r="AK38" i="4" s="1"/>
  <c r="AK39" i="4" s="1"/>
  <c r="AK65" i="4" s="1"/>
  <c r="AL52" i="4" s="1"/>
  <c r="AK64" i="4" l="1"/>
  <c r="AL51" i="4" s="1"/>
  <c r="AK63" i="4"/>
  <c r="AL50" i="4" s="1"/>
  <c r="AK40" i="4"/>
  <c r="AK41" i="4" s="1"/>
  <c r="AK67" i="4" s="1"/>
  <c r="AL54" i="4" s="1"/>
  <c r="AK66" i="4" l="1"/>
  <c r="AL53" i="4" s="1"/>
  <c r="AK42" i="4"/>
  <c r="AK68" i="4" s="1"/>
  <c r="AL55" i="4" s="1"/>
  <c r="AK43" i="4" l="1"/>
  <c r="AK69" i="4" s="1"/>
  <c r="AK15" i="4" s="1"/>
  <c r="AK16" i="4" l="1"/>
  <c r="AK20" i="4" s="1"/>
  <c r="AK17" i="4"/>
  <c r="AL56" i="4"/>
  <c r="AL14" i="4" s="1"/>
  <c r="AK26" i="4"/>
  <c r="AK27" i="4" s="1"/>
  <c r="AK18" i="4" l="1"/>
  <c r="AK28" i="4"/>
  <c r="AK29" i="4"/>
  <c r="AK24" i="4"/>
  <c r="AL9" i="4" l="1"/>
  <c r="AL8" i="4" s="1"/>
  <c r="AK21" i="4"/>
  <c r="AK25" i="4" l="1"/>
  <c r="AK74" i="4"/>
  <c r="AK75" i="4" s="1"/>
  <c r="AL10" i="4"/>
  <c r="AL12" i="4"/>
  <c r="AL23" i="4" s="1"/>
  <c r="AL11" i="4" l="1"/>
  <c r="AL13" i="4" s="1"/>
  <c r="AL73" i="4"/>
  <c r="AL34" i="4"/>
  <c r="AL60" i="4" s="1"/>
  <c r="AM47" i="4" s="1"/>
  <c r="AL35" i="4" l="1"/>
  <c r="AL61" i="4" l="1"/>
  <c r="AM48" i="4" s="1"/>
  <c r="AL36" i="4"/>
  <c r="AL62" i="4" l="1"/>
  <c r="AM49" i="4" s="1"/>
  <c r="AL37" i="4"/>
  <c r="AL63" i="4" l="1"/>
  <c r="AM50" i="4" s="1"/>
  <c r="AL38" i="4"/>
  <c r="AL64" i="4" l="1"/>
  <c r="AM51" i="4" s="1"/>
  <c r="AL39" i="4"/>
  <c r="AL65" i="4" l="1"/>
  <c r="AM52" i="4" s="1"/>
  <c r="AL40" i="4"/>
  <c r="AL66" i="4" s="1"/>
  <c r="AM53" i="4" s="1"/>
  <c r="AL41" i="4" l="1"/>
  <c r="AL67" i="4" s="1"/>
  <c r="AM54" i="4" s="1"/>
  <c r="AL42" i="4" l="1"/>
  <c r="AL68" i="4" s="1"/>
  <c r="AL43" i="4" l="1"/>
  <c r="AL69" i="4" s="1"/>
  <c r="AM56" i="4" s="1"/>
  <c r="AM55" i="4"/>
  <c r="AL26" i="4" l="1"/>
  <c r="AL27" i="4" s="1"/>
  <c r="AL16" i="4"/>
  <c r="AL20" i="4" s="1"/>
  <c r="AL17" i="4"/>
  <c r="AM14" i="4"/>
  <c r="AL15" i="4"/>
  <c r="AL24" i="4" l="1"/>
  <c r="AM9" i="4"/>
  <c r="AM8" i="4" s="1"/>
  <c r="AL28" i="4"/>
  <c r="AL29" i="4"/>
  <c r="AL18" i="4"/>
  <c r="AL21" i="4" l="1"/>
  <c r="AL25" i="4" s="1"/>
  <c r="AM12" i="4"/>
  <c r="AM23" i="4" s="1"/>
  <c r="AM10" i="4"/>
  <c r="AL74" i="4" l="1"/>
  <c r="AL75" i="4" s="1"/>
  <c r="AM11" i="4"/>
  <c r="AM13" i="4" s="1"/>
  <c r="AM73" i="4"/>
  <c r="AM34" i="4"/>
  <c r="AM60" i="4" l="1"/>
  <c r="AN47" i="4" s="1"/>
  <c r="AM35" i="4"/>
  <c r="AM61" i="4" s="1"/>
  <c r="AN48" i="4" s="1"/>
  <c r="AM36" i="4" l="1"/>
  <c r="AM62" i="4" l="1"/>
  <c r="AN49" i="4" s="1"/>
  <c r="AM37" i="4"/>
  <c r="AM38" i="4" l="1"/>
  <c r="AM63" i="4"/>
  <c r="AN50" i="4" s="1"/>
  <c r="AM39" i="4" l="1"/>
  <c r="AM64" i="4"/>
  <c r="AN51" i="4" s="1"/>
  <c r="AM40" i="4" l="1"/>
  <c r="AM41" i="4" s="1"/>
  <c r="AM67" i="4" s="1"/>
  <c r="AN54" i="4" s="1"/>
  <c r="AM65" i="4"/>
  <c r="AN52" i="4" s="1"/>
  <c r="AM66" i="4" l="1"/>
  <c r="AM42" i="4"/>
  <c r="AM68" i="4" l="1"/>
  <c r="AN53" i="4"/>
  <c r="AM43" i="4"/>
  <c r="AM69" i="4" s="1"/>
  <c r="AN56" i="4" s="1"/>
  <c r="AM16" i="4" l="1"/>
  <c r="AM20" i="4" s="1"/>
  <c r="AM17" i="4"/>
  <c r="AM26" i="4"/>
  <c r="AN55" i="4"/>
  <c r="AN14" i="4" s="1"/>
  <c r="AM15" i="4"/>
  <c r="AM29" i="4" l="1"/>
  <c r="AM28" i="4"/>
  <c r="AM27" i="4"/>
  <c r="AM18" i="4"/>
  <c r="AM24" i="4"/>
  <c r="AM21" i="4" l="1"/>
  <c r="AN9" i="4"/>
  <c r="AN8" i="4" s="1"/>
  <c r="AM74" i="4" l="1"/>
  <c r="AM75" i="4" s="1"/>
  <c r="AM25" i="4"/>
  <c r="AN10" i="4"/>
  <c r="AN12" i="4"/>
  <c r="AN23" i="4" s="1"/>
  <c r="AN11" i="4" l="1"/>
  <c r="AN13" i="4" s="1"/>
  <c r="AN73" i="4"/>
  <c r="AN34" i="4"/>
  <c r="AN35" i="4" l="1"/>
  <c r="AN61" i="4" s="1"/>
  <c r="AO48" i="4" s="1"/>
  <c r="AN60" i="4"/>
  <c r="AO47" i="4" s="1"/>
  <c r="AN36" i="4" l="1"/>
  <c r="AN37" i="4" s="1"/>
  <c r="AN63" i="4" s="1"/>
  <c r="AO50" i="4" s="1"/>
  <c r="AN62" i="4" l="1"/>
  <c r="AO49" i="4" s="1"/>
  <c r="AN38" i="4"/>
  <c r="AN39" i="4" s="1"/>
  <c r="AN65" i="4" s="1"/>
  <c r="AO52" i="4" s="1"/>
  <c r="AN64" i="4" l="1"/>
  <c r="AO51" i="4" s="1"/>
  <c r="AN40" i="4"/>
  <c r="AN66" i="4" s="1"/>
  <c r="AO53" i="4" s="1"/>
  <c r="AN41" i="4" l="1"/>
  <c r="AN42" i="4" l="1"/>
  <c r="AN43" i="4" s="1"/>
  <c r="AN69" i="4" s="1"/>
  <c r="AO56" i="4" s="1"/>
  <c r="AN67" i="4"/>
  <c r="AO54" i="4" l="1"/>
  <c r="AN68" i="4"/>
  <c r="AO55" i="4" s="1"/>
  <c r="AN26" i="4"/>
  <c r="AN15" i="4" l="1"/>
  <c r="AN16" i="4"/>
  <c r="AN20" i="4" s="1"/>
  <c r="AN28" i="4"/>
  <c r="AN27" i="4"/>
  <c r="AN29" i="4"/>
  <c r="AO14" i="4"/>
  <c r="AN17" i="4"/>
  <c r="AN18" i="4" l="1"/>
  <c r="AN24" i="4"/>
  <c r="AN21" i="4" l="1"/>
  <c r="AO9" i="4"/>
  <c r="AO8" i="4" s="1"/>
  <c r="AO10" i="4" l="1"/>
  <c r="AO12" i="4"/>
  <c r="AO23" i="4" s="1"/>
  <c r="AN74" i="4"/>
  <c r="AN75" i="4" s="1"/>
  <c r="AN25" i="4"/>
  <c r="AO11" i="4" l="1"/>
  <c r="AO13" i="4" s="1"/>
  <c r="AO73" i="4"/>
  <c r="AO34" i="4"/>
  <c r="AO35" i="4" l="1"/>
  <c r="AO61" i="4" s="1"/>
  <c r="AP48" i="4" s="1"/>
  <c r="AO60" i="4"/>
  <c r="AP47" i="4" s="1"/>
  <c r="AO36" i="4" l="1"/>
  <c r="AO37" i="4" s="1"/>
  <c r="AO63" i="4" s="1"/>
  <c r="AP50" i="4" s="1"/>
  <c r="AO62" i="4" l="1"/>
  <c r="AP49" i="4" s="1"/>
  <c r="AO38" i="4"/>
  <c r="AO64" i="4" s="1"/>
  <c r="AP51" i="4" s="1"/>
  <c r="AO39" i="4" l="1"/>
  <c r="AO65" i="4" s="1"/>
  <c r="AP52" i="4" s="1"/>
  <c r="AO40" i="4" l="1"/>
  <c r="AO66" i="4" s="1"/>
  <c r="AP53" i="4" l="1"/>
  <c r="AO41" i="4"/>
  <c r="AO42" i="4" l="1"/>
  <c r="AO67" i="4"/>
  <c r="AP54" i="4" l="1"/>
  <c r="AO68" i="4"/>
  <c r="AP55" i="4" s="1"/>
  <c r="AO43" i="4"/>
  <c r="AO69" i="4" s="1"/>
  <c r="AP56" i="4" s="1"/>
  <c r="AO17" i="4" l="1"/>
  <c r="AO15" i="4"/>
  <c r="AO26" i="4"/>
  <c r="AO16" i="4"/>
  <c r="AO20" i="4" s="1"/>
  <c r="AP14" i="4"/>
  <c r="AO24" i="4" l="1"/>
  <c r="AO18" i="4"/>
  <c r="AO28" i="4"/>
  <c r="AO27" i="4"/>
  <c r="AO29" i="4"/>
  <c r="AO21" i="4" l="1"/>
  <c r="AP9" i="4"/>
  <c r="AP8" i="4" s="1"/>
  <c r="AP10" i="4" l="1"/>
  <c r="AP12" i="4"/>
  <c r="AP23" i="4" s="1"/>
  <c r="AO74" i="4"/>
  <c r="AO75" i="4" s="1"/>
  <c r="AO25" i="4"/>
  <c r="AP73" i="4" l="1"/>
  <c r="AP34" i="4"/>
  <c r="AP35" i="4" s="1"/>
  <c r="AP11" i="4"/>
  <c r="AP13" i="4" s="1"/>
  <c r="AP36" i="4" l="1"/>
  <c r="AP62" i="4" s="1"/>
  <c r="AQ49" i="4" s="1"/>
  <c r="AP61" i="4"/>
  <c r="AQ48" i="4" s="1"/>
  <c r="AP60" i="4"/>
  <c r="AQ47" i="4" s="1"/>
  <c r="AP37" i="4" l="1"/>
  <c r="AP63" i="4" s="1"/>
  <c r="AQ50" i="4" s="1"/>
  <c r="AP38" i="4" l="1"/>
  <c r="AP64" i="4" s="1"/>
  <c r="AQ51" i="4" s="1"/>
  <c r="AP39" i="4" l="1"/>
  <c r="AP65" i="4" s="1"/>
  <c r="AP40" i="4" l="1"/>
  <c r="AP41" i="4" s="1"/>
  <c r="AP42" i="4" s="1"/>
  <c r="AQ52" i="4"/>
  <c r="AP66" i="4" l="1"/>
  <c r="AQ53" i="4" s="1"/>
  <c r="AP67" i="4"/>
  <c r="AQ54" i="4" s="1"/>
  <c r="AP68" i="4"/>
  <c r="AP43" i="4"/>
  <c r="AP69" i="4" s="1"/>
  <c r="AP16" i="4" l="1"/>
  <c r="AP20" i="4" s="1"/>
  <c r="AP26" i="4"/>
  <c r="AP28" i="4" s="1"/>
  <c r="AQ56" i="4"/>
  <c r="AP15" i="4"/>
  <c r="AQ55" i="4"/>
  <c r="AP17" i="4"/>
  <c r="AP18" i="4" l="1"/>
  <c r="AP24" i="4"/>
  <c r="AP29" i="4"/>
  <c r="AP27" i="4"/>
  <c r="AQ14" i="4"/>
  <c r="AP21" i="4"/>
  <c r="AQ9" i="4"/>
  <c r="AQ8" i="4" s="1"/>
  <c r="AQ10" i="4" l="1"/>
  <c r="AQ12" i="4"/>
  <c r="AQ23" i="4" s="1"/>
  <c r="AP25" i="4"/>
  <c r="AP74" i="4"/>
  <c r="AP75" i="4" s="1"/>
  <c r="AQ11" i="4" l="1"/>
  <c r="AQ13" i="4" s="1"/>
  <c r="AQ34" i="4"/>
  <c r="AQ35" i="4" s="1"/>
  <c r="AQ61" i="4" s="1"/>
  <c r="AR48" i="4" s="1"/>
  <c r="AQ73" i="4"/>
  <c r="AQ36" i="4" l="1"/>
  <c r="AQ37" i="4" s="1"/>
  <c r="AQ63" i="4" s="1"/>
  <c r="AR50" i="4" s="1"/>
  <c r="AQ60" i="4"/>
  <c r="AR47" i="4" s="1"/>
  <c r="AQ62" i="4" l="1"/>
  <c r="AR49" i="4" s="1"/>
  <c r="AQ38" i="4"/>
  <c r="AQ64" i="4" l="1"/>
  <c r="AR51" i="4" s="1"/>
  <c r="AQ39" i="4"/>
  <c r="AQ65" i="4" l="1"/>
  <c r="AR52" i="4" s="1"/>
  <c r="AQ40" i="4"/>
  <c r="AQ66" i="4" s="1"/>
  <c r="AR53" i="4" s="1"/>
  <c r="AQ41" i="4" l="1"/>
  <c r="AQ67" i="4" s="1"/>
  <c r="AR54" i="4" s="1"/>
  <c r="AQ42" i="4" l="1"/>
  <c r="AQ43" i="4" l="1"/>
  <c r="AQ69" i="4" s="1"/>
  <c r="AR56" i="4" s="1"/>
  <c r="AQ68" i="4"/>
  <c r="AQ26" i="4" l="1"/>
  <c r="AQ29" i="4" s="1"/>
  <c r="AQ16" i="4"/>
  <c r="AQ20" i="4" s="1"/>
  <c r="AR55" i="4"/>
  <c r="AR14" i="4" s="1"/>
  <c r="AQ15" i="4"/>
  <c r="AQ17" i="4"/>
  <c r="AQ27" i="4" l="1"/>
  <c r="AQ28" i="4"/>
  <c r="AQ18" i="4"/>
  <c r="AQ24" i="4"/>
  <c r="AR9" i="4" l="1"/>
  <c r="AR8" i="4" s="1"/>
  <c r="AQ21" i="4"/>
  <c r="AQ74" i="4" l="1"/>
  <c r="AQ75" i="4" s="1"/>
  <c r="AQ25" i="4"/>
  <c r="AR10" i="4"/>
  <c r="AR12" i="4"/>
  <c r="AR23" i="4" l="1"/>
  <c r="B49" i="1"/>
  <c r="AR11" i="4"/>
  <c r="AR13" i="4" s="1"/>
  <c r="AR34" i="4"/>
  <c r="AR73" i="4"/>
  <c r="AR35" i="4" l="1"/>
  <c r="AR60" i="4"/>
  <c r="AR61" i="4" l="1"/>
  <c r="AR36" i="4"/>
  <c r="AR62" i="4" l="1"/>
  <c r="AR37" i="4"/>
  <c r="AR63" i="4" l="1"/>
  <c r="AR38" i="4"/>
  <c r="AR64" i="4" l="1"/>
  <c r="AR39" i="4"/>
  <c r="AR65" i="4" l="1"/>
  <c r="AR40" i="4"/>
  <c r="AR66" i="4" l="1"/>
  <c r="AR41" i="4"/>
  <c r="AR67" i="4" l="1"/>
  <c r="AR42" i="4"/>
  <c r="AR43" i="4" l="1"/>
  <c r="AR68" i="4"/>
  <c r="AR69" i="4" l="1"/>
  <c r="AR26" i="4"/>
  <c r="AR29" i="4" l="1"/>
  <c r="F2" i="10" s="1"/>
  <c r="AR28" i="4"/>
  <c r="E2" i="10" s="1"/>
  <c r="B44" i="1"/>
  <c r="AR27" i="4"/>
  <c r="D2" i="10" s="1"/>
  <c r="AR16" i="4"/>
  <c r="AR20" i="4" s="1"/>
  <c r="AR15" i="4"/>
  <c r="AR17" i="4"/>
  <c r="B50" i="1" s="1"/>
  <c r="AR21" i="4" l="1"/>
  <c r="AR24" i="4"/>
  <c r="AR18" i="4"/>
  <c r="B51" i="1" s="1"/>
  <c r="B48" i="1" l="1"/>
  <c r="AR25" i="4"/>
  <c r="B43" i="1" s="1"/>
  <c r="B45" i="1" s="1"/>
  <c r="AR74" i="4"/>
  <c r="AR75" i="4" s="1"/>
  <c r="B56" i="1" s="1"/>
  <c r="B46" i="1" l="1"/>
  <c r="B47" i="1" s="1"/>
  <c r="G2" i="10" s="1"/>
  <c r="U48" i="1" l="1"/>
  <c r="U49" i="1"/>
  <c r="B4" i="9" l="1"/>
  <c r="V49" i="1"/>
  <c r="B3" i="9"/>
  <c r="U50" i="1"/>
  <c r="B5" i="9" s="1"/>
  <c r="U51" i="1"/>
  <c r="B6" i="9" s="1"/>
  <c r="W49" i="1" l="1"/>
</calcChain>
</file>

<file path=xl/comments1.xml><?xml version="1.0" encoding="utf-8"?>
<comments xmlns="http://schemas.openxmlformats.org/spreadsheetml/2006/main">
  <authors>
    <author>David Taylor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Their paper accounts for Capacity factor and Peak Rating Required</t>
        </r>
      </text>
    </comment>
  </commentList>
</comments>
</file>

<file path=xl/comments2.xml><?xml version="1.0" encoding="utf-8"?>
<comments xmlns="http://schemas.openxmlformats.org/spreadsheetml/2006/main">
  <authors>
    <author>David Taylor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Sort Using this Column!!
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Select either Direct Input and use the Optional Direct Input Column or Specify Source Breakdown. If Source Breakdown does not add to 100%, the figures are rescaled with the equivaled ratio.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Function of Production and electricity intensity of oil sands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60% of natural gas emissions taken to account for cogen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Function of Production and electricity intensity of oil sands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Function of Production and electricity intensity of oil sands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45% of GHG emissions from NG to electricity b/c steam production is much more efficient… (I think…)</t>
        </r>
      </text>
    </comment>
  </commentList>
</comments>
</file>

<file path=xl/comments3.xml><?xml version="1.0" encoding="utf-8"?>
<comments xmlns="http://schemas.openxmlformats.org/spreadsheetml/2006/main">
  <authors>
    <author>David Taylor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Use Goal Seek to change the # of Turbines to meet different scenario objectives.</t>
        </r>
      </text>
    </comment>
  </commentList>
</comments>
</file>

<file path=xl/sharedStrings.xml><?xml version="1.0" encoding="utf-8"?>
<sst xmlns="http://schemas.openxmlformats.org/spreadsheetml/2006/main" count="503" uniqueCount="286">
  <si>
    <t>Region</t>
  </si>
  <si>
    <t>Current Wind Proportion</t>
  </si>
  <si>
    <t>Max Wind Proportion</t>
  </si>
  <si>
    <t>kWh/bbl</t>
  </si>
  <si>
    <t>bbl/year</t>
  </si>
  <si>
    <t>Reference</t>
  </si>
  <si>
    <t>References:</t>
  </si>
  <si>
    <t>Grid Capacity (GW)</t>
  </si>
  <si>
    <t>Transmission Distance (km)</t>
  </si>
  <si>
    <t>Additional Wind Capacity (GW)</t>
  </si>
  <si>
    <t>Alberta</t>
  </si>
  <si>
    <t>Edmonton</t>
  </si>
  <si>
    <t>California</t>
  </si>
  <si>
    <t>San Franscico</t>
  </si>
  <si>
    <t>Canada (excluding Alberta)</t>
  </si>
  <si>
    <t>Montreal</t>
  </si>
  <si>
    <t>USA (excluding California)</t>
  </si>
  <si>
    <t>Method of Calculating GHG (choose one)</t>
  </si>
  <si>
    <t>Direct Input</t>
  </si>
  <si>
    <t>List Source Ratios</t>
  </si>
  <si>
    <t>GHG of Electricity Input Method</t>
  </si>
  <si>
    <t>Source</t>
  </si>
  <si>
    <t>Mean GHG (gCO2-eq/kWh)</t>
  </si>
  <si>
    <t>Lignite</t>
  </si>
  <si>
    <t>Coal</t>
  </si>
  <si>
    <t>Oil</t>
  </si>
  <si>
    <t>Natural Gas</t>
  </si>
  <si>
    <t>Hydro</t>
  </si>
  <si>
    <t>Nuclear</t>
  </si>
  <si>
    <t>Wind</t>
  </si>
  <si>
    <t>Solar PV</t>
  </si>
  <si>
    <t>Biomass</t>
  </si>
  <si>
    <t>Mean GHG (MT CO2-eq/GW)</t>
  </si>
  <si>
    <t>Optional Direct Input (MT CO2 eq/GW)</t>
  </si>
  <si>
    <t>Electricity Generation's GHG Emissions (MT CO2 eq/GW)</t>
  </si>
  <si>
    <t>Waste Heat</t>
  </si>
  <si>
    <t xml:space="preserve">Stats Can 2013 </t>
  </si>
  <si>
    <t>http://www5.statcan.gc.ca/cansim/a37</t>
  </si>
  <si>
    <t>http://www.eia.gov/electricity/monthly/epm_table_grapher.cfm?t=epmt_1_02</t>
  </si>
  <si>
    <t>http://energyalmanac.ca.gov/electricity/total_system_power.html</t>
  </si>
  <si>
    <t>Oil Sands Information</t>
  </si>
  <si>
    <t>Production</t>
  </si>
  <si>
    <t>Well-to-Tank Emissions</t>
  </si>
  <si>
    <t>Well-to-Wheel Emissions</t>
  </si>
  <si>
    <t>kg CO2-eq/bbl</t>
  </si>
  <si>
    <t>Conventional Oil 2005 US AVG</t>
  </si>
  <si>
    <t>Incremental Emissions</t>
  </si>
  <si>
    <t>Onsite Usage Via Cogen</t>
  </si>
  <si>
    <t>Yes/No</t>
  </si>
  <si>
    <t>Yes</t>
  </si>
  <si>
    <t>No</t>
  </si>
  <si>
    <t>Electricity Intensity (Steam Extraction)</t>
  </si>
  <si>
    <t>Electric Heat Intensity</t>
  </si>
  <si>
    <t>Electric Heat Extraction</t>
  </si>
  <si>
    <t>x multiplier of current</t>
  </si>
  <si>
    <t>Onsite Usage Electric Assist Direct</t>
  </si>
  <si>
    <t>Onsite Usage Electric Assist Indirect</t>
  </si>
  <si>
    <t>Wind Turbines</t>
  </si>
  <si>
    <t>Capital Costs</t>
  </si>
  <si>
    <t>GHG Emissions</t>
  </si>
  <si>
    <t>g CO2-eq/kWh</t>
  </si>
  <si>
    <t>MT CO2-eq/GW</t>
  </si>
  <si>
    <t>Transmission Lines</t>
  </si>
  <si>
    <t>Cost</t>
  </si>
  <si>
    <t>Aggregated Life Expectancy</t>
  </si>
  <si>
    <t>Life Expectancy</t>
  </si>
  <si>
    <t>Years</t>
  </si>
  <si>
    <t>Size</t>
  </si>
  <si>
    <t>Capacity Factor</t>
  </si>
  <si>
    <t>Redundancy Required</t>
  </si>
  <si>
    <t>$/MW/km</t>
  </si>
  <si>
    <t>years</t>
  </si>
  <si>
    <t xml:space="preserve">x </t>
  </si>
  <si>
    <t>(km)^2</t>
  </si>
  <si>
    <t>MW-peak</t>
  </si>
  <si>
    <t>Maximum Turbine Density</t>
  </si>
  <si>
    <t>turbine/km^2</t>
  </si>
  <si>
    <t>Area for Wind Farm</t>
  </si>
  <si>
    <t>Incremental Carbon Ratio</t>
  </si>
  <si>
    <t>Production Carbon Ratio</t>
  </si>
  <si>
    <t>Total Carbon Ratio</t>
  </si>
  <si>
    <t>$/W</t>
  </si>
  <si>
    <t>Generation (GW)</t>
  </si>
  <si>
    <t>Name Plate Capacity (GW)</t>
  </si>
  <si>
    <t>Destinations for Electricity</t>
  </si>
  <si>
    <t>Additional Capacity for Wind (GW)</t>
  </si>
  <si>
    <t>GHG Intensity (MT CO2-eq/GW)</t>
  </si>
  <si>
    <t>Split (GW)</t>
  </si>
  <si>
    <t>Annual Carbon Offset (MT CO2-eq)</t>
  </si>
  <si>
    <t>MT CO2-eq/yr</t>
  </si>
  <si>
    <t>Wind Turbine Emissions (MT CO2-eq)</t>
  </si>
  <si>
    <t>Distance (km)</t>
  </si>
  <si>
    <t>Can the Power Get Used (Y/N)</t>
  </si>
  <si>
    <t>Transmission Priority</t>
  </si>
  <si>
    <t xml:space="preserve"> </t>
  </si>
  <si>
    <t>Weblink</t>
  </si>
  <si>
    <t>TRANSMISSION SCHEDULING</t>
  </si>
  <si>
    <t>Year</t>
  </si>
  <si>
    <t>Tarrif Revenues</t>
  </si>
  <si>
    <t>Reinvestment Gathered</t>
  </si>
  <si>
    <t>Maintenance Due</t>
  </si>
  <si>
    <t>Turbines Decomissioned</t>
  </si>
  <si>
    <t>Production (bbl)</t>
  </si>
  <si>
    <t>Incremental Emissions (MT CO2-eq)</t>
  </si>
  <si>
    <t>Production Emissions (MT CO2-eq)</t>
  </si>
  <si>
    <t>Total Emissions (MT CO2-eq)</t>
  </si>
  <si>
    <t>Tarrif/bbl</t>
  </si>
  <si>
    <t>$/bbl</t>
  </si>
  <si>
    <t>Reinvestment</t>
  </si>
  <si>
    <t>$/kWh</t>
  </si>
  <si>
    <t>Power Generated (GW)</t>
  </si>
  <si>
    <t>Additaional Wind Capacity (GW)</t>
  </si>
  <si>
    <t>Carbon Offset (MT)</t>
  </si>
  <si>
    <t>Transmission Capacity (GW)</t>
  </si>
  <si>
    <t>Add. Transmission Costs</t>
  </si>
  <si>
    <t>New Turbines Installed</t>
  </si>
  <si>
    <t>Grid's Capacity for Wind</t>
  </si>
  <si>
    <t>Income - Maintenance</t>
  </si>
  <si>
    <t>Instantaneous Model</t>
  </si>
  <si>
    <t>Number of Turbines</t>
  </si>
  <si>
    <t>Jefferson City MO</t>
  </si>
  <si>
    <t xml:space="preserve">Representative Destination of Transmission </t>
  </si>
  <si>
    <t>(Weisser, 2007)</t>
  </si>
  <si>
    <t>[except waste heat]</t>
  </si>
  <si>
    <t>Select Transmission Priority and sort the list (DON'T COPY:PASTE) to use a different scheduling algorith. Use Column sort to refresh the order.</t>
  </si>
  <si>
    <t>Instantaneous Model of Wind Turbine Offsets and Costs</t>
  </si>
  <si>
    <t>User Input</t>
  </si>
  <si>
    <t>1000 Turbines</t>
  </si>
  <si>
    <t>Incremental Offset</t>
  </si>
  <si>
    <t>Production Offset</t>
  </si>
  <si>
    <t>Total Offset</t>
  </si>
  <si>
    <t>Max Density</t>
  </si>
  <si>
    <t>Transmission Scheduling Destinations and Allocations</t>
  </si>
  <si>
    <t>Scenarios</t>
  </si>
  <si>
    <t>Progressively Installed and Maintained Model</t>
  </si>
  <si>
    <t>Transmission Modeling</t>
  </si>
  <si>
    <t>Destination</t>
  </si>
  <si>
    <t>Scheduling</t>
  </si>
  <si>
    <t>Dispatching (GW)</t>
  </si>
  <si>
    <t>Installed Capacity (GW)</t>
  </si>
  <si>
    <t>Capacity Built (GW)</t>
  </si>
  <si>
    <t>Transmission New Construction</t>
  </si>
  <si>
    <t>Transmission Infrastructure Totals</t>
  </si>
  <si>
    <t>unused</t>
  </si>
  <si>
    <t>Total WTT Emissions</t>
  </si>
  <si>
    <t>Total WTW Emissions</t>
  </si>
  <si>
    <t>Total Incremental Emissions</t>
  </si>
  <si>
    <t>Transmission Needed (GW)</t>
  </si>
  <si>
    <t>Unused Income ($ Billions)</t>
  </si>
  <si>
    <t>Newly Built Turbines ($ Billions)</t>
  </si>
  <si>
    <t>Replaced Turbines ($ Billions)</t>
  </si>
  <si>
    <t>Transmission Line Construction ($ Billions)</t>
  </si>
  <si>
    <t>Tarrif Scheme and Cumulative Impact</t>
  </si>
  <si>
    <t>Wind Cost ($ Billions)</t>
  </si>
  <si>
    <t>Transmission Cost ($ Billions)</t>
  </si>
  <si>
    <t>GHG Instensity of Electricity Generation Sources</t>
  </si>
  <si>
    <t>Production Growth Rate</t>
  </si>
  <si>
    <t>Annual growth rate</t>
  </si>
  <si>
    <t>Land Capacity (turbines)</t>
  </si>
  <si>
    <t xml:space="preserve">Grid Capacity (turbines) </t>
  </si>
  <si>
    <t>Oil Sands Land Area</t>
  </si>
  <si>
    <t>of total Oil Sands Area</t>
  </si>
  <si>
    <t>Over 40 years</t>
  </si>
  <si>
    <t>Total Carbon Saved</t>
  </si>
  <si>
    <t>Equivalent Carbon Tax</t>
  </si>
  <si>
    <t>Net Present Cost of /bbl tax</t>
  </si>
  <si>
    <t>Net Present Cost including Reinvestment</t>
  </si>
  <si>
    <t>Turbine Density (#/(km)^2)</t>
  </si>
  <si>
    <t>Turbines Built</t>
  </si>
  <si>
    <t>Percent of Alberta's Generation</t>
  </si>
  <si>
    <t>Percent of Canada's Generation</t>
  </si>
  <si>
    <t>Effective Purchase Price of Emissions Reductions (cumulative model)</t>
  </si>
  <si>
    <t>Fort McMurray</t>
  </si>
  <si>
    <t>MT of CO2-eq</t>
  </si>
  <si>
    <t>$/ton of CO2-eq</t>
  </si>
  <si>
    <t>annually</t>
  </si>
  <si>
    <t>Equivalent Carbon Tax:</t>
  </si>
  <si>
    <t>NPV Turbine CapX</t>
  </si>
  <si>
    <t>NPV Turbine Maintenance</t>
  </si>
  <si>
    <t>Intra-Province Distance (km)</t>
  </si>
  <si>
    <t>km</t>
  </si>
  <si>
    <t>Intra-Provincial Distance (Edmonton)</t>
  </si>
  <si>
    <t>Extra-Prov. Transmission Costs</t>
  </si>
  <si>
    <t>Intra-Prov Transmission Costs</t>
  </si>
  <si>
    <t>Comparable IRR</t>
  </si>
  <si>
    <t>Carbon Tax Avoided</t>
  </si>
  <si>
    <t>per barrel</t>
  </si>
  <si>
    <t>IRR</t>
  </si>
  <si>
    <t>40 year model</t>
  </si>
  <si>
    <t>Wind Energy Sale Price</t>
  </si>
  <si>
    <t>Avoided Carbon Tax</t>
  </si>
  <si>
    <t>Additional Electricity Revenue</t>
  </si>
  <si>
    <t>Net</t>
  </si>
  <si>
    <t>Expenditures</t>
  </si>
  <si>
    <t>$/W/year</t>
  </si>
  <si>
    <t>Maintenance Costs</t>
  </si>
  <si>
    <t>Maintenance ($Billions)</t>
  </si>
  <si>
    <t>Assumed</t>
  </si>
  <si>
    <t>Variable</t>
  </si>
  <si>
    <t>Production Cumulative Carbon Ratio</t>
  </si>
  <si>
    <t>Total Cumulative Carbon Ratio</t>
  </si>
  <si>
    <t>Incremental Cumulative Carbon Ratio</t>
  </si>
  <si>
    <t>IRR Cash Flow</t>
  </si>
  <si>
    <t>Active Turbines (Thousands)</t>
  </si>
  <si>
    <t xml:space="preserve">Active Turbines </t>
  </si>
  <si>
    <t>California Cap and Trade Price</t>
  </si>
  <si>
    <t>$/ton</t>
  </si>
  <si>
    <t>McKinsey High Penetration On-shore Wind</t>
  </si>
  <si>
    <t>McKinsey 3GT Abatement Cost</t>
  </si>
  <si>
    <t>Reference Costs</t>
  </si>
  <si>
    <t xml:space="preserve">Proposed Scheme </t>
  </si>
  <si>
    <t>2015 California Cap and Trade</t>
  </si>
  <si>
    <t>U.S. High-Penetration Wind</t>
  </si>
  <si>
    <t>NPV Extra-Province Transmission</t>
  </si>
  <si>
    <t>NPV  Intra-Province Transmission</t>
  </si>
  <si>
    <t>min</t>
  </si>
  <si>
    <t>max</t>
  </si>
  <si>
    <t>Proposed Cost</t>
  </si>
  <si>
    <t>Neg Err</t>
  </si>
  <si>
    <t>Pos Err</t>
  </si>
  <si>
    <t>08/15 Syncrude Upgraded Costs</t>
  </si>
  <si>
    <t>2013 Market Price</t>
  </si>
  <si>
    <t>2014 Market Price</t>
  </si>
  <si>
    <t>2015 Market Price</t>
  </si>
  <si>
    <t>Current</t>
  </si>
  <si>
    <t>Oil Sands Production Costs</t>
  </si>
  <si>
    <t>U.S. Abatement of 3 GT CO2e</t>
  </si>
  <si>
    <t>Discount Rate</t>
  </si>
  <si>
    <t>(Government of Alberta 2013)</t>
  </si>
  <si>
    <t>(IHS CERA 2012)</t>
  </si>
  <si>
    <t>(AESO 2008)</t>
  </si>
  <si>
    <t>(AESO 2014)</t>
  </si>
  <si>
    <t>(Government of Alberta 2015)</t>
  </si>
  <si>
    <t>(Vestas 2014)</t>
  </si>
  <si>
    <t>(Natural Resources Canada 2013)</t>
  </si>
  <si>
    <t>(Wiser and Bolinger 2015)</t>
  </si>
  <si>
    <t>(EIA 2010)</t>
  </si>
  <si>
    <t>(Raadal et al. 2011)</t>
  </si>
  <si>
    <t>(Nugent and Sovacool 2014)</t>
  </si>
  <si>
    <t>(Georgilakis 2008)</t>
  </si>
  <si>
    <t>(Delucchi and Jacobson 2011)</t>
  </si>
  <si>
    <t>(Climate Policy Initiative 2015)</t>
  </si>
  <si>
    <t>(Creyts et al. 2007)</t>
  </si>
  <si>
    <t>Nominal</t>
  </si>
  <si>
    <t>AESO. 2008. “Future Demand Outlook.” Calgary: Alberta Electric System Operator.</t>
  </si>
  <si>
    <t>———. 2014. “AESO 2014 Long-Term Outlook.” Calgary: Alberta Electric System Operator.</t>
  </si>
  <si>
    <t>Climate Policy Initiative. 2015. “California Carbon Dashboard.” December 2. calcarbondash.org.</t>
  </si>
  <si>
    <t>Cox, Chris, and Matthew Murphy. 2013. “Energy.” Industry Report. Canada Research. Vancouver, BC: Raymond James Ltd.</t>
  </si>
  <si>
    <t>Creyts, Jon, Anton Derkach, Scott Nyquist, Ken Ostrowski, and Jack Stephenson. 2007. “Reducing U.S. Greenhouse Gas Emissions: How Much at What Cost?” Executive Report. U.S. Greenhouse Gas Abatement Mapping Initiative. McKinsey &amp; Company.</t>
  </si>
  <si>
    <r>
      <t xml:space="preserve">Delucchi, Mark A., and Mark Z. Jacobson. 2011. “Providing All Global Energy with Wind, Water, and Solar Power, Part II: Reliability, System and Transmission Costs, and Policies.” </t>
    </r>
    <r>
      <rPr>
        <i/>
        <sz val="11"/>
        <color theme="1"/>
        <rFont val="Calibri"/>
        <family val="2"/>
        <scheme val="minor"/>
      </rPr>
      <t>Energy Policy</t>
    </r>
    <r>
      <rPr>
        <sz val="11"/>
        <color theme="1"/>
        <rFont val="Calibri"/>
        <family val="2"/>
        <scheme val="minor"/>
      </rPr>
      <t xml:space="preserve"> 39 (3): 1170–90.</t>
    </r>
  </si>
  <si>
    <t>EIA. 2010. “Assumptions to the Annual Energy Outlook 2010.” DOE/EIA-0554(2010). US Energy Information Administration, Office of Integrated Analysis and Forecasting. http://www.eia.gov/oiaf/aeo/assumption/pdf/electricity_tbls.pdf.</t>
  </si>
  <si>
    <r>
      <t xml:space="preserve">Georgilakis, Pavlos S. 2008. “Technical Challenges Associated with the Integration of Wind Power into Power Systems.” </t>
    </r>
    <r>
      <rPr>
        <i/>
        <sz val="11"/>
        <color theme="1"/>
        <rFont val="Calibri"/>
        <family val="2"/>
        <scheme val="minor"/>
      </rPr>
      <t>Renewable and Sustainable Energy Reviews</t>
    </r>
    <r>
      <rPr>
        <sz val="11"/>
        <color theme="1"/>
        <rFont val="Calibri"/>
        <family val="2"/>
        <scheme val="minor"/>
      </rPr>
      <t xml:space="preserve"> 12 (3): 852–63. doi:10.1016/j.rser.2006.10.007.</t>
    </r>
  </si>
  <si>
    <t>Government of Alberta. 2013. “Oil Sands: The Resource.” Government of Alberta. http://oilsands.alberta.ca/FactSheets/Resource_FSht_Sep_2013_Online.pdf.</t>
  </si>
  <si>
    <r>
      <t xml:space="preserve">———. 2015. “Oil Sands Mine Reclamation and Disturbance Tracking by Year.” Text. </t>
    </r>
    <r>
      <rPr>
        <i/>
        <sz val="11"/>
        <color theme="1"/>
        <rFont val="Calibri"/>
        <family val="2"/>
        <scheme val="minor"/>
      </rPr>
      <t>Alberta Environment and Parks</t>
    </r>
    <r>
      <rPr>
        <sz val="11"/>
        <color theme="1"/>
        <rFont val="Calibri"/>
        <family val="2"/>
        <scheme val="minor"/>
      </rPr>
      <t>. May 19. http://osip.alberta.ca/library/Dataset/Details/27#.</t>
    </r>
  </si>
  <si>
    <t>IHS CERA. 2012. “Oil Sands, Greenhouse Gases, and US Oil Supply: Getting the Numbers Right - 2012 Update.” IHS CERA.</t>
  </si>
  <si>
    <r>
      <t xml:space="preserve">Natural Resources Canada. 2013. “RETScreen 4.” </t>
    </r>
    <r>
      <rPr>
        <i/>
        <sz val="11"/>
        <color theme="1"/>
        <rFont val="Calibri"/>
        <family val="2"/>
        <scheme val="minor"/>
      </rPr>
      <t>RETScreen International</t>
    </r>
    <r>
      <rPr>
        <sz val="11"/>
        <color theme="1"/>
        <rFont val="Calibri"/>
        <family val="2"/>
        <scheme val="minor"/>
      </rPr>
      <t>. June 14. http://www.retscreen.net/ang/version4.php.</t>
    </r>
  </si>
  <si>
    <r>
      <t xml:space="preserve">Nugent, Daniel, and Benjamin K. Sovacool. 2014. “Assessing the Lifecycle Greenhouse Gas Emissions from Solar PV and Wind Energy: A Critical Meta-Survey.” </t>
    </r>
    <r>
      <rPr>
        <i/>
        <sz val="11"/>
        <color theme="1"/>
        <rFont val="Calibri"/>
        <family val="2"/>
        <scheme val="minor"/>
      </rPr>
      <t>Energy Policy</t>
    </r>
    <r>
      <rPr>
        <sz val="11"/>
        <color theme="1"/>
        <rFont val="Calibri"/>
        <family val="2"/>
        <scheme val="minor"/>
      </rPr>
      <t xml:space="preserve"> 65: 229–44.</t>
    </r>
  </si>
  <si>
    <r>
      <t xml:space="preserve">Patel, Mukund R. 2005. </t>
    </r>
    <r>
      <rPr>
        <i/>
        <sz val="11"/>
        <color theme="1"/>
        <rFont val="Calibri"/>
        <family val="2"/>
        <scheme val="minor"/>
      </rPr>
      <t>Wind and Solar Power Systems: Design, Analysis, and Operation, Second Edition</t>
    </r>
    <r>
      <rPr>
        <sz val="11"/>
        <color theme="1"/>
        <rFont val="Calibri"/>
        <family val="2"/>
        <scheme val="minor"/>
      </rPr>
      <t>. CRC Press.</t>
    </r>
  </si>
  <si>
    <r>
      <t xml:space="preserve">Raadal, Hanne Lerche, Luc Gagnon, Ingunn Saur Modahl, and Ole Jørgen Hanssen. 2011. “Life Cycle Greenhouse Gas (GHG) Emissions from the Generation of Wind and Hydro Power.” </t>
    </r>
    <r>
      <rPr>
        <i/>
        <sz val="11"/>
        <color theme="1"/>
        <rFont val="Calibri"/>
        <family val="2"/>
        <scheme val="minor"/>
      </rPr>
      <t>Renewable and Sustainable Energy Reviews</t>
    </r>
    <r>
      <rPr>
        <sz val="11"/>
        <color theme="1"/>
        <rFont val="Calibri"/>
        <family val="2"/>
        <scheme val="minor"/>
      </rPr>
      <t xml:space="preserve"> 15 (7): 3417–22. doi:10.1016/j.rser.2011.05.001.</t>
    </r>
  </si>
  <si>
    <r>
      <t>Vestas. 2014. “V126-3.45 MW</t>
    </r>
    <r>
      <rPr>
        <vertAlign val="superscript"/>
        <sz val="11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 xml:space="preserve"> at a Glance.” </t>
    </r>
    <r>
      <rPr>
        <i/>
        <sz val="11"/>
        <color theme="1"/>
        <rFont val="Calibri"/>
        <family val="2"/>
        <scheme val="minor"/>
      </rPr>
      <t>Vestas Turbines</t>
    </r>
    <r>
      <rPr>
        <sz val="11"/>
        <color theme="1"/>
        <rFont val="Calibri"/>
        <family val="2"/>
        <scheme val="minor"/>
      </rPr>
      <t>. https://www.vestas.com/en/products_and_services/turbines/v126-3_3_mw#!at-a-glance.</t>
    </r>
  </si>
  <si>
    <t>Wiser, Ryan, and Mark Bolinger. 2015. “2014 Wind Technologies Market Report.” DOE/GO--102015-4702. Berkeley, CA: Lawrence Berkeley National Lab. http://dx.doi.org/10.2172/1220532.</t>
  </si>
  <si>
    <t>(Patel 2005)</t>
  </si>
  <si>
    <r>
      <rPr>
        <i/>
        <sz val="11"/>
        <rFont val="Calibri"/>
        <family val="2"/>
        <scheme val="minor"/>
      </rPr>
      <t xml:space="preserve">Conservative, </t>
    </r>
    <r>
      <rPr>
        <u/>
        <sz val="11"/>
        <color theme="10"/>
        <rFont val="Calibri"/>
        <family val="2"/>
        <scheme val="minor"/>
      </rPr>
      <t>(Patel 2005)</t>
    </r>
  </si>
  <si>
    <r>
      <rPr>
        <i/>
        <sz val="11"/>
        <rFont val="Calibri"/>
        <family val="2"/>
        <scheme val="minor"/>
      </rPr>
      <t xml:space="preserve">Conservative, </t>
    </r>
    <r>
      <rPr>
        <u/>
        <sz val="11"/>
        <color theme="10"/>
        <rFont val="Calibri"/>
        <family val="2"/>
        <scheme val="minor"/>
      </rPr>
      <t>(Cox and Murphy 2013)</t>
    </r>
  </si>
  <si>
    <t>(Cox and Murphy 2013)</t>
  </si>
  <si>
    <r>
      <rPr>
        <i/>
        <sz val="11"/>
        <rFont val="Calibri"/>
        <family val="2"/>
        <scheme val="minor"/>
      </rPr>
      <t xml:space="preserve">Implicitly, </t>
    </r>
    <r>
      <rPr>
        <u/>
        <sz val="11"/>
        <color theme="10"/>
        <rFont val="Calibri"/>
        <family val="2"/>
        <scheme val="minor"/>
      </rPr>
      <t>(Delucchi and Jacobson 2011)</t>
    </r>
  </si>
  <si>
    <t>Calculated</t>
  </si>
  <si>
    <t>Investment</t>
  </si>
  <si>
    <t>Inc CCR</t>
  </si>
  <si>
    <t>Prod CCR</t>
  </si>
  <si>
    <t>Total CCR</t>
  </si>
  <si>
    <t>d</t>
  </si>
  <si>
    <t>range of dollar investments 1-50</t>
  </si>
  <si>
    <t>range of cents reinvestments 0-8 by 0.5 c</t>
  </si>
  <si>
    <t>f</t>
  </si>
  <si>
    <t>range of cap factor 17%, 30%</t>
  </si>
  <si>
    <t>D</t>
  </si>
  <si>
    <t>single dollar inc</t>
  </si>
  <si>
    <t>half cent inc</t>
  </si>
  <si>
    <t>e</t>
  </si>
  <si>
    <t>E</t>
  </si>
  <si>
    <t>If an undefined function error occurs in macro, hit alt+F11 to open VBA dialogue</t>
  </si>
  <si>
    <t xml:space="preserve">then choose Tools -&gt; References  </t>
  </si>
  <si>
    <t>And ensure Solver is selected</t>
  </si>
  <si>
    <t>Saturating the Grid with 20% Wind</t>
  </si>
  <si>
    <t>v. 1.95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</si>
</sst>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  <numFmt numFmtId="168" formatCode="&quot;$&quot;#,##0.00"/>
    <numFmt numFmtId="169" formatCode="&quot;$&quot;#,##0"/>
    <numFmt numFmtId="170" formatCode="0.00000000"/>
    <numFmt numFmtId="171" formatCode="&quot;$&quot;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2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88">
    <xf numFmtId="0" fontId="0" fillId="0" borderId="0" xfId="0"/>
    <xf numFmtId="1" fontId="0" fillId="0" borderId="0" xfId="0" applyNumberFormat="1"/>
    <xf numFmtId="0" fontId="3" fillId="0" borderId="0" xfId="0" applyFont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 applyBorder="1"/>
    <xf numFmtId="1" fontId="2" fillId="0" borderId="0" xfId="0" applyNumberFormat="1" applyFont="1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11" xfId="0" applyFont="1" applyBorder="1"/>
    <xf numFmtId="0" fontId="0" fillId="0" borderId="12" xfId="0" applyBorder="1"/>
    <xf numFmtId="9" fontId="0" fillId="0" borderId="13" xfId="0" applyNumberFormat="1" applyBorder="1"/>
    <xf numFmtId="0" fontId="0" fillId="0" borderId="13" xfId="0" applyBorder="1"/>
    <xf numFmtId="0" fontId="0" fillId="5" borderId="0" xfId="0" applyFill="1"/>
    <xf numFmtId="164" fontId="2" fillId="0" borderId="3" xfId="0" applyNumberFormat="1" applyFont="1" applyBorder="1"/>
    <xf numFmtId="164" fontId="2" fillId="0" borderId="0" xfId="0" applyNumberFormat="1" applyFont="1" applyBorder="1"/>
    <xf numFmtId="0" fontId="6" fillId="0" borderId="0" xfId="0" applyFont="1" applyBorder="1"/>
    <xf numFmtId="0" fontId="6" fillId="0" borderId="3" xfId="0" applyFont="1" applyBorder="1"/>
    <xf numFmtId="0" fontId="6" fillId="0" borderId="3" xfId="0" quotePrefix="1" applyFont="1" applyBorder="1"/>
    <xf numFmtId="165" fontId="6" fillId="0" borderId="3" xfId="0" applyNumberFormat="1" applyFont="1" applyBorder="1"/>
    <xf numFmtId="165" fontId="6" fillId="0" borderId="0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7" xfId="0" applyFont="1" applyBorder="1"/>
    <xf numFmtId="0" fontId="0" fillId="0" borderId="18" xfId="0" applyBorder="1"/>
    <xf numFmtId="164" fontId="2" fillId="0" borderId="8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19" xfId="0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0" fillId="0" borderId="3" xfId="0" applyFont="1" applyBorder="1"/>
    <xf numFmtId="0" fontId="10" fillId="0" borderId="4" xfId="0" applyFont="1" applyBorder="1"/>
    <xf numFmtId="1" fontId="2" fillId="0" borderId="5" xfId="0" applyNumberFormat="1" applyFont="1" applyBorder="1"/>
    <xf numFmtId="164" fontId="2" fillId="0" borderId="6" xfId="0" applyNumberFormat="1" applyFont="1" applyBorder="1"/>
    <xf numFmtId="1" fontId="2" fillId="0" borderId="7" xfId="0" applyNumberFormat="1" applyFont="1" applyBorder="1"/>
    <xf numFmtId="164" fontId="2" fillId="0" borderId="9" xfId="0" applyNumberFormat="1" applyFont="1" applyBorder="1"/>
    <xf numFmtId="0" fontId="3" fillId="7" borderId="2" xfId="0" applyFont="1" applyFill="1" applyBorder="1"/>
    <xf numFmtId="0" fontId="3" fillId="0" borderId="5" xfId="0" applyFont="1" applyBorder="1"/>
    <xf numFmtId="166" fontId="2" fillId="0" borderId="0" xfId="2" applyNumberFormat="1" applyFont="1" applyBorder="1"/>
    <xf numFmtId="166" fontId="2" fillId="0" borderId="6" xfId="2" applyNumberFormat="1" applyFont="1" applyBorder="1"/>
    <xf numFmtId="166" fontId="2" fillId="0" borderId="0" xfId="0" applyNumberFormat="1" applyFont="1" applyBorder="1"/>
    <xf numFmtId="0" fontId="2" fillId="0" borderId="6" xfId="0" applyFont="1" applyBorder="1"/>
    <xf numFmtId="1" fontId="2" fillId="0" borderId="6" xfId="0" applyNumberFormat="1" applyFont="1" applyBorder="1"/>
    <xf numFmtId="9" fontId="2" fillId="0" borderId="0" xfId="1" applyFont="1" applyBorder="1"/>
    <xf numFmtId="9" fontId="2" fillId="0" borderId="6" xfId="1" applyFont="1" applyBorder="1"/>
    <xf numFmtId="0" fontId="3" fillId="0" borderId="7" xfId="0" applyFont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5" xfId="0" applyFont="1" applyBorder="1"/>
    <xf numFmtId="2" fontId="2" fillId="0" borderId="0" xfId="0" applyNumberFormat="1" applyFont="1" applyBorder="1"/>
    <xf numFmtId="2" fontId="2" fillId="0" borderId="6" xfId="0" applyNumberFormat="1" applyFont="1" applyBorder="1"/>
    <xf numFmtId="0" fontId="11" fillId="5" borderId="5" xfId="0" applyFont="1" applyFill="1" applyBorder="1"/>
    <xf numFmtId="0" fontId="11" fillId="5" borderId="0" xfId="0" applyFont="1" applyFill="1" applyBorder="1"/>
    <xf numFmtId="0" fontId="11" fillId="5" borderId="6" xfId="0" applyFont="1" applyFill="1" applyBorder="1"/>
    <xf numFmtId="0" fontId="0" fillId="5" borderId="0" xfId="0" applyFill="1" applyBorder="1"/>
    <xf numFmtId="0" fontId="0" fillId="5" borderId="6" xfId="0" applyFill="1" applyBorder="1"/>
    <xf numFmtId="2" fontId="2" fillId="0" borderId="8" xfId="0" applyNumberFormat="1" applyFont="1" applyBorder="1"/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2" fillId="0" borderId="26" xfId="0" applyFont="1" applyBorder="1"/>
    <xf numFmtId="2" fontId="2" fillId="0" borderId="27" xfId="0" applyNumberFormat="1" applyFont="1" applyBorder="1"/>
    <xf numFmtId="2" fontId="2" fillId="0" borderId="28" xfId="0" applyNumberFormat="1" applyFont="1" applyBorder="1"/>
    <xf numFmtId="0" fontId="2" fillId="0" borderId="27" xfId="0" applyFont="1" applyBorder="1"/>
    <xf numFmtId="0" fontId="2" fillId="0" borderId="23" xfId="0" applyFont="1" applyBorder="1"/>
    <xf numFmtId="0" fontId="2" fillId="0" borderId="24" xfId="0" applyFont="1" applyBorder="1"/>
    <xf numFmtId="2" fontId="2" fillId="0" borderId="24" xfId="0" applyNumberFormat="1" applyFont="1" applyBorder="1"/>
    <xf numFmtId="2" fontId="2" fillId="0" borderId="25" xfId="0" applyNumberFormat="1" applyFont="1" applyBorder="1"/>
    <xf numFmtId="9" fontId="0" fillId="0" borderId="11" xfId="1" applyFont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3" fillId="0" borderId="25" xfId="0" applyFont="1" applyBorder="1" applyAlignment="1">
      <alignment wrapText="1"/>
    </xf>
    <xf numFmtId="0" fontId="3" fillId="0" borderId="6" xfId="0" applyFont="1" applyBorder="1" applyAlignment="1">
      <alignment wrapText="1"/>
    </xf>
    <xf numFmtId="2" fontId="2" fillId="0" borderId="21" xfId="0" applyNumberFormat="1" applyFont="1" applyBorder="1"/>
    <xf numFmtId="0" fontId="0" fillId="0" borderId="11" xfId="0" applyBorder="1" applyAlignment="1">
      <alignment horizontal="center"/>
    </xf>
    <xf numFmtId="167" fontId="0" fillId="0" borderId="12" xfId="3" applyNumberFormat="1" applyFont="1" applyBorder="1"/>
    <xf numFmtId="0" fontId="0" fillId="0" borderId="11" xfId="0" applyFill="1" applyBorder="1"/>
    <xf numFmtId="2" fontId="2" fillId="0" borderId="0" xfId="2" applyNumberFormat="1" applyFont="1" applyBorder="1"/>
    <xf numFmtId="164" fontId="0" fillId="5" borderId="0" xfId="0" applyNumberFormat="1" applyFill="1"/>
    <xf numFmtId="1" fontId="0" fillId="5" borderId="0" xfId="0" applyNumberFormat="1" applyFill="1"/>
    <xf numFmtId="0" fontId="8" fillId="0" borderId="29" xfId="4" applyBorder="1" applyAlignment="1">
      <alignment horizontal="left" vertical="top"/>
    </xf>
    <xf numFmtId="0" fontId="3" fillId="0" borderId="1" xfId="0" applyFont="1" applyBorder="1"/>
    <xf numFmtId="0" fontId="0" fillId="3" borderId="22" xfId="0" applyFill="1" applyBorder="1"/>
    <xf numFmtId="166" fontId="0" fillId="5" borderId="0" xfId="2" applyNumberFormat="1" applyFont="1" applyFill="1"/>
    <xf numFmtId="2" fontId="0" fillId="5" borderId="0" xfId="0" applyNumberFormat="1" applyFill="1"/>
    <xf numFmtId="166" fontId="0" fillId="5" borderId="0" xfId="0" applyNumberFormat="1" applyFill="1"/>
    <xf numFmtId="165" fontId="0" fillId="5" borderId="0" xfId="1" applyNumberFormat="1" applyFont="1" applyFill="1"/>
    <xf numFmtId="165" fontId="2" fillId="0" borderId="0" xfId="1" applyNumberFormat="1" applyFont="1" applyBorder="1"/>
    <xf numFmtId="165" fontId="2" fillId="0" borderId="8" xfId="1" applyNumberFormat="1" applyFont="1" applyBorder="1"/>
    <xf numFmtId="0" fontId="7" fillId="2" borderId="2" xfId="0" applyFont="1" applyFill="1" applyBorder="1" applyAlignment="1"/>
    <xf numFmtId="0" fontId="7" fillId="2" borderId="4" xfId="0" applyFont="1" applyFill="1" applyBorder="1" applyAlignment="1"/>
    <xf numFmtId="0" fontId="0" fillId="3" borderId="17" xfId="0" applyFill="1" applyBorder="1"/>
    <xf numFmtId="0" fontId="0" fillId="3" borderId="18" xfId="0" applyFill="1" applyBorder="1"/>
    <xf numFmtId="0" fontId="6" fillId="6" borderId="16" xfId="0" applyFont="1" applyFill="1" applyBorder="1" applyAlignment="1">
      <alignment wrapText="1"/>
    </xf>
    <xf numFmtId="0" fontId="6" fillId="7" borderId="11" xfId="0" applyFont="1" applyFill="1" applyBorder="1" applyAlignment="1">
      <alignment wrapText="1"/>
    </xf>
    <xf numFmtId="0" fontId="6" fillId="6" borderId="11" xfId="0" applyFont="1" applyFill="1" applyBorder="1" applyAlignment="1">
      <alignment wrapText="1"/>
    </xf>
    <xf numFmtId="0" fontId="6" fillId="6" borderId="11" xfId="0" applyFont="1" applyFill="1" applyBorder="1"/>
    <xf numFmtId="0" fontId="6" fillId="6" borderId="10" xfId="0" applyFont="1" applyFill="1" applyBorder="1"/>
    <xf numFmtId="0" fontId="12" fillId="0" borderId="0" xfId="0" applyFont="1" applyBorder="1"/>
    <xf numFmtId="165" fontId="0" fillId="0" borderId="11" xfId="1" applyNumberFormat="1" applyFont="1" applyBorder="1"/>
    <xf numFmtId="167" fontId="2" fillId="0" borderId="32" xfId="3" applyNumberFormat="1" applyFont="1" applyBorder="1"/>
    <xf numFmtId="167" fontId="2" fillId="0" borderId="33" xfId="3" applyNumberFormat="1" applyFont="1" applyBorder="1"/>
    <xf numFmtId="165" fontId="6" fillId="0" borderId="3" xfId="1" applyNumberFormat="1" applyFont="1" applyBorder="1"/>
    <xf numFmtId="165" fontId="6" fillId="0" borderId="0" xfId="1" applyNumberFormat="1" applyFont="1" applyBorder="1"/>
    <xf numFmtId="167" fontId="2" fillId="0" borderId="0" xfId="3" applyNumberFormat="1" applyFont="1" applyBorder="1"/>
    <xf numFmtId="167" fontId="2" fillId="0" borderId="6" xfId="3" applyNumberFormat="1" applyFont="1" applyBorder="1"/>
    <xf numFmtId="167" fontId="0" fillId="0" borderId="0" xfId="3" applyNumberFormat="1" applyFont="1" applyBorder="1"/>
    <xf numFmtId="0" fontId="8" fillId="0" borderId="0" xfId="4" applyBorder="1"/>
    <xf numFmtId="9" fontId="0" fillId="0" borderId="12" xfId="0" applyNumberFormat="1" applyBorder="1"/>
    <xf numFmtId="167" fontId="0" fillId="0" borderId="11" xfId="3" applyNumberFormat="1" applyFont="1" applyFill="1" applyBorder="1"/>
    <xf numFmtId="170" fontId="0" fillId="5" borderId="0" xfId="0" applyNumberFormat="1" applyFill="1"/>
    <xf numFmtId="43" fontId="2" fillId="0" borderId="0" xfId="3" applyNumberFormat="1" applyFont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168" fontId="0" fillId="0" borderId="12" xfId="2" applyNumberFormat="1" applyFont="1" applyBorder="1"/>
    <xf numFmtId="168" fontId="0" fillId="0" borderId="11" xfId="2" applyNumberFormat="1" applyFont="1" applyBorder="1"/>
    <xf numFmtId="0" fontId="3" fillId="0" borderId="35" xfId="0" applyFont="1" applyBorder="1"/>
    <xf numFmtId="166" fontId="2" fillId="0" borderId="36" xfId="2" applyNumberFormat="1" applyFont="1" applyBorder="1"/>
    <xf numFmtId="166" fontId="2" fillId="0" borderId="37" xfId="2" applyNumberFormat="1" applyFont="1" applyBorder="1"/>
    <xf numFmtId="6" fontId="2" fillId="0" borderId="11" xfId="0" applyNumberFormat="1" applyFont="1" applyFill="1" applyBorder="1"/>
    <xf numFmtId="167" fontId="2" fillId="0" borderId="11" xfId="3" applyNumberFormat="1" applyFont="1" applyFill="1" applyBorder="1"/>
    <xf numFmtId="169" fontId="2" fillId="0" borderId="11" xfId="2" applyNumberFormat="1" applyFont="1" applyFill="1" applyBorder="1"/>
    <xf numFmtId="6" fontId="2" fillId="0" borderId="13" xfId="0" applyNumberFormat="1" applyFont="1" applyFill="1" applyBorder="1"/>
    <xf numFmtId="9" fontId="2" fillId="0" borderId="13" xfId="1" applyFont="1" applyFill="1" applyBorder="1"/>
    <xf numFmtId="8" fontId="6" fillId="5" borderId="0" xfId="0" applyNumberFormat="1" applyFont="1" applyFill="1" applyBorder="1"/>
    <xf numFmtId="2" fontId="2" fillId="0" borderId="7" xfId="0" applyNumberFormat="1" applyFont="1" applyBorder="1"/>
    <xf numFmtId="2" fontId="2" fillId="0" borderId="3" xfId="0" applyNumberFormat="1" applyFont="1" applyBorder="1"/>
    <xf numFmtId="2" fontId="6" fillId="0" borderId="0" xfId="0" applyNumberFormat="1" applyFont="1" applyBorder="1"/>
    <xf numFmtId="2" fontId="2" fillId="0" borderId="11" xfId="0" applyNumberFormat="1" applyFont="1" applyBorder="1"/>
    <xf numFmtId="43" fontId="2" fillId="0" borderId="11" xfId="3" applyNumberFormat="1" applyFont="1" applyBorder="1"/>
    <xf numFmtId="43" fontId="2" fillId="0" borderId="13" xfId="3" applyNumberFormat="1" applyFont="1" applyBorder="1"/>
    <xf numFmtId="1" fontId="2" fillId="0" borderId="0" xfId="2" applyNumberFormat="1" applyFont="1" applyBorder="1"/>
    <xf numFmtId="1" fontId="2" fillId="0" borderId="6" xfId="2" applyNumberFormat="1" applyFont="1" applyBorder="1"/>
    <xf numFmtId="0" fontId="0" fillId="0" borderId="6" xfId="0" quotePrefix="1" applyBorder="1"/>
    <xf numFmtId="166" fontId="0" fillId="0" borderId="0" xfId="2" applyNumberFormat="1" applyFont="1"/>
    <xf numFmtId="0" fontId="13" fillId="8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0" fontId="8" fillId="8" borderId="0" xfId="4" applyFill="1" applyAlignment="1">
      <alignment vertical="center" wrapText="1"/>
    </xf>
    <xf numFmtId="0" fontId="15" fillId="8" borderId="0" xfId="0" applyFont="1" applyFill="1" applyAlignment="1">
      <alignment vertical="center"/>
    </xf>
    <xf numFmtId="0" fontId="8" fillId="8" borderId="0" xfId="4" applyFill="1" applyAlignment="1">
      <alignment vertical="center"/>
    </xf>
    <xf numFmtId="0" fontId="8" fillId="0" borderId="5" xfId="4" applyFont="1" applyBorder="1" applyAlignment="1">
      <alignment horizontal="left" vertical="top"/>
    </xf>
    <xf numFmtId="0" fontId="0" fillId="0" borderId="6" xfId="0" applyBorder="1" applyAlignment="1">
      <alignment vertical="center" wrapText="1"/>
    </xf>
    <xf numFmtId="0" fontId="8" fillId="0" borderId="7" xfId="4" applyFont="1" applyBorder="1" applyAlignment="1">
      <alignment horizontal="left" vertical="top"/>
    </xf>
    <xf numFmtId="0" fontId="0" fillId="0" borderId="9" xfId="0" applyBorder="1" applyAlignment="1">
      <alignment vertical="center" wrapText="1"/>
    </xf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9" fontId="2" fillId="0" borderId="0" xfId="1" applyNumberFormat="1" applyFont="1" applyBorder="1"/>
    <xf numFmtId="43" fontId="2" fillId="0" borderId="6" xfId="3" applyNumberFormat="1" applyFont="1" applyBorder="1"/>
    <xf numFmtId="0" fontId="0" fillId="3" borderId="0" xfId="0" applyFill="1"/>
    <xf numFmtId="171" fontId="0" fillId="0" borderId="0" xfId="0" applyNumberFormat="1"/>
    <xf numFmtId="9" fontId="0" fillId="0" borderId="11" xfId="0" applyNumberFormat="1" applyBorder="1"/>
    <xf numFmtId="6" fontId="0" fillId="0" borderId="0" xfId="0" applyNumberFormat="1"/>
    <xf numFmtId="0" fontId="0" fillId="0" borderId="3" xfId="0" applyBorder="1" applyAlignment="1">
      <alignment horizontal="center" vertical="center" wrapText="1"/>
    </xf>
    <xf numFmtId="8" fontId="0" fillId="5" borderId="0" xfId="0" applyNumberForma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0" fillId="0" borderId="15" xfId="0" applyBorder="1" applyAlignment="1">
      <alignment horizontal="left"/>
    </xf>
    <xf numFmtId="0" fontId="0" fillId="0" borderId="9" xfId="0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2" borderId="19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3" fontId="0" fillId="0" borderId="31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</cellXfs>
  <cellStyles count="5">
    <cellStyle name="Comma" xfId="3" builtinId="3"/>
    <cellStyle name="Currency" xfId="2" builtinId="4"/>
    <cellStyle name="Hyperlink" xfId="4" builtinId="8"/>
    <cellStyle name="Normal" xfId="0" builtinId="0"/>
    <cellStyle name="Percent" xfId="1" builtinId="5"/>
  </cellStyles>
  <dxfs count="56"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%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%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%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%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%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%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%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%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%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%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0" tint="-0.34998626667073579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Tarrif</a:t>
            </a:r>
            <a:r>
              <a:rPr lang="en-US" baseline="0"/>
              <a:t> Scheme Cumulative Impact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48381452318461"/>
          <c:y val="8.3591046047841289E-2"/>
          <c:w val="0.70295911874652039"/>
          <c:h val="0.61074156441587346"/>
        </c:manualLayout>
      </c:layout>
      <c:lineChart>
        <c:grouping val="standard"/>
        <c:varyColors val="0"/>
        <c:ser>
          <c:idx val="0"/>
          <c:order val="0"/>
          <c:tx>
            <c:v>Active Turbines (Left Axis)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'Cumulative 40yr Model'!$D$2:$AR$2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'Cumulative 40yr Model'!$D$8:$AR$8</c:f>
              <c:numCache>
                <c:formatCode>0.0</c:formatCode>
                <c:ptCount val="41"/>
                <c:pt idx="0" formatCode="General">
                  <c:v>0</c:v>
                </c:pt>
                <c:pt idx="1">
                  <c:v>1.4904991948470208</c:v>
                </c:pt>
                <c:pt idx="2">
                  <c:v>2.9481378785163925</c:v>
                </c:pt>
                <c:pt idx="3">
                  <c:v>4.3738646815388478</c:v>
                </c:pt>
                <c:pt idx="4">
                  <c:v>5.6615091961136335</c:v>
                </c:pt>
                <c:pt idx="5">
                  <c:v>6.9575082666322832</c:v>
                </c:pt>
                <c:pt idx="6">
                  <c:v>8.2445341011536186</c:v>
                </c:pt>
                <c:pt idx="7">
                  <c:v>9.5249551120984286</c:v>
                </c:pt>
                <c:pt idx="8">
                  <c:v>10.798767401930702</c:v>
                </c:pt>
                <c:pt idx="9">
                  <c:v>12.066249458617721</c:v>
                </c:pt>
                <c:pt idx="10">
                  <c:v>13.327642885119053</c:v>
                </c:pt>
                <c:pt idx="11">
                  <c:v>14.583190867588627</c:v>
                </c:pt>
                <c:pt idx="12">
                  <c:v>15.833133610178212</c:v>
                </c:pt>
                <c:pt idx="13">
                  <c:v>17.077708945500053</c:v>
                </c:pt>
                <c:pt idx="14">
                  <c:v>18.317152321676552</c:v>
                </c:pt>
                <c:pt idx="15">
                  <c:v>19.551696863564842</c:v>
                </c:pt>
                <c:pt idx="16">
                  <c:v>20.781573424257932</c:v>
                </c:pt>
                <c:pt idx="17">
                  <c:v>22.007010636969216</c:v>
                </c:pt>
                <c:pt idx="18">
                  <c:v>23.228234966098952</c:v>
                </c:pt>
                <c:pt idx="19">
                  <c:v>24.445470757641445</c:v>
                </c:pt>
                <c:pt idx="20">
                  <c:v>25.658940288927727</c:v>
                </c:pt>
                <c:pt idx="21">
                  <c:v>25.378364622871167</c:v>
                </c:pt>
                <c:pt idx="22">
                  <c:v>25.330733925300198</c:v>
                </c:pt>
                <c:pt idx="23">
                  <c:v>25.30667977415024</c:v>
                </c:pt>
                <c:pt idx="24">
                  <c:v>25.436906321221823</c:v>
                </c:pt>
                <c:pt idx="25">
                  <c:v>25.556897311579149</c:v>
                </c:pt>
                <c:pt idx="26">
                  <c:v>25.70382296267028</c:v>
                </c:pt>
                <c:pt idx="27">
                  <c:v>25.870616959753569</c:v>
                </c:pt>
                <c:pt idx="28">
                  <c:v>26.057950415321319</c:v>
                </c:pt>
                <c:pt idx="29">
                  <c:v>26.265286124456953</c:v>
                </c:pt>
                <c:pt idx="30">
                  <c:v>26.492278433578541</c:v>
                </c:pt>
                <c:pt idx="31">
                  <c:v>26.738565653104317</c:v>
                </c:pt>
                <c:pt idx="32">
                  <c:v>27.003799499545565</c:v>
                </c:pt>
                <c:pt idx="33">
                  <c:v>27.287640777412452</c:v>
                </c:pt>
                <c:pt idx="34">
                  <c:v>27.589759758321836</c:v>
                </c:pt>
                <c:pt idx="35">
                  <c:v>27.9098359233714</c:v>
                </c:pt>
                <c:pt idx="36">
                  <c:v>28.247557795462001</c:v>
                </c:pt>
                <c:pt idx="37">
                  <c:v>28.602622763834553</c:v>
                </c:pt>
                <c:pt idx="38">
                  <c:v>28.974736913732105</c:v>
                </c:pt>
                <c:pt idx="39">
                  <c:v>29.363614859409694</c:v>
                </c:pt>
                <c:pt idx="40">
                  <c:v>29.768979580648853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21240"/>
        <c:axId val="512921632"/>
      </c:lineChart>
      <c:lineChart>
        <c:grouping val="standard"/>
        <c:varyColors val="0"/>
        <c:ser>
          <c:idx val="1"/>
          <c:order val="1"/>
          <c:tx>
            <c:strRef>
              <c:f>'Cumulative 40yr Model'!$C$27</c:f>
              <c:strCache>
                <c:ptCount val="1"/>
                <c:pt idx="0">
                  <c:v>Incremental Cumulative Carbon Ratio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'Cumulative 40yr Model'!$D$27:$AR$27</c:f>
              <c:numCache>
                <c:formatCode>0.0%</c:formatCode>
                <c:ptCount val="41"/>
                <c:pt idx="1">
                  <c:v>5.7219802329430941E-2</c:v>
                </c:pt>
                <c:pt idx="2">
                  <c:v>0.11816672035606118</c:v>
                </c:pt>
                <c:pt idx="3">
                  <c:v>0.16790272557796135</c:v>
                </c:pt>
                <c:pt idx="4">
                  <c:v>0.2113871746395907</c:v>
                </c:pt>
                <c:pt idx="5">
                  <c:v>0.25164657259072359</c:v>
                </c:pt>
                <c:pt idx="6">
                  <c:v>0.28984182374236722</c:v>
                </c:pt>
                <c:pt idx="7">
                  <c:v>0.32657169822101689</c:v>
                </c:pt>
                <c:pt idx="8">
                  <c:v>0.36217043328262716</c:v>
                </c:pt>
                <c:pt idx="9">
                  <c:v>0.39684152063188305</c:v>
                </c:pt>
                <c:pt idx="10">
                  <c:v>0.43071691535811435</c:v>
                </c:pt>
                <c:pt idx="11">
                  <c:v>0.46388681729923203</c:v>
                </c:pt>
                <c:pt idx="12">
                  <c:v>0.49641568849814371</c:v>
                </c:pt>
                <c:pt idx="13">
                  <c:v>0.52835140891157373</c:v>
                </c:pt>
                <c:pt idx="14">
                  <c:v>0.55973077024890883</c:v>
                </c:pt>
                <c:pt idx="15">
                  <c:v>0.59058291025105258</c:v>
                </c:pt>
                <c:pt idx="16">
                  <c:v>0.62093153542416957</c:v>
                </c:pt>
                <c:pt idx="17">
                  <c:v>0.65079640337807776</c:v>
                </c:pt>
                <c:pt idx="18">
                  <c:v>0.68019433753694591</c:v>
                </c:pt>
                <c:pt idx="19">
                  <c:v>0.70913993788344842</c:v>
                </c:pt>
                <c:pt idx="20">
                  <c:v>0.73764608905052642</c:v>
                </c:pt>
                <c:pt idx="21">
                  <c:v>0.762278935600192</c:v>
                </c:pt>
                <c:pt idx="22">
                  <c:v>0.78406896108345792</c:v>
                </c:pt>
                <c:pt idx="23">
                  <c:v>0.80342562747992907</c:v>
                </c:pt>
                <c:pt idx="24">
                  <c:v>0.82095367474906833</c:v>
                </c:pt>
                <c:pt idx="25">
                  <c:v>0.83684345718961406</c:v>
                </c:pt>
                <c:pt idx="26">
                  <c:v>0.85132576580723196</c:v>
                </c:pt>
                <c:pt idx="27">
                  <c:v>0.86458501276005417</c:v>
                </c:pt>
                <c:pt idx="28">
                  <c:v>0.87678063308815701</c:v>
                </c:pt>
                <c:pt idx="29">
                  <c:v>0.8880492600850487</c:v>
                </c:pt>
                <c:pt idx="30">
                  <c:v>0.89850873097140882</c:v>
                </c:pt>
                <c:pt idx="31">
                  <c:v>0.90826101897225775</c:v>
                </c:pt>
                <c:pt idx="32">
                  <c:v>0.91739467571941646</c:v>
                </c:pt>
                <c:pt idx="33">
                  <c:v>0.9259868358227592</c:v>
                </c:pt>
                <c:pt idx="34">
                  <c:v>0.93410487777829565</c:v>
                </c:pt>
                <c:pt idx="35">
                  <c:v>0.94180780718672896</c:v>
                </c:pt>
                <c:pt idx="36">
                  <c:v>0.9491474149496697</c:v>
                </c:pt>
                <c:pt idx="37">
                  <c:v>0.95616925189768309</c:v>
                </c:pt>
                <c:pt idx="38">
                  <c:v>0.96291345281661422</c:v>
                </c:pt>
                <c:pt idx="39">
                  <c:v>0.96941543624292981</c:v>
                </c:pt>
                <c:pt idx="40">
                  <c:v>0.97570650125321157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'Cumulative 40yr Model'!$C$28</c:f>
              <c:strCache>
                <c:ptCount val="1"/>
                <c:pt idx="0">
                  <c:v>Production Cumulative Carbon Ratio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'Cumulative 40yr Model'!$D$28:$AR$28</c:f>
              <c:numCache>
                <c:formatCode>0.0%</c:formatCode>
                <c:ptCount val="41"/>
                <c:pt idx="1">
                  <c:v>2.3512257718651827E-2</c:v>
                </c:pt>
                <c:pt idx="2">
                  <c:v>4.8556029026170233E-2</c:v>
                </c:pt>
                <c:pt idx="3">
                  <c:v>6.8993110684385739E-2</c:v>
                </c:pt>
                <c:pt idx="4">
                  <c:v>8.6861357890209046E-2</c:v>
                </c:pt>
                <c:pt idx="5">
                  <c:v>0.10340439546966471</c:v>
                </c:pt>
                <c:pt idx="6">
                  <c:v>0.11909925200789086</c:v>
                </c:pt>
                <c:pt idx="7">
                  <c:v>0.13419196885692394</c:v>
                </c:pt>
                <c:pt idx="8">
                  <c:v>0.14881988784915842</c:v>
                </c:pt>
                <c:pt idx="9">
                  <c:v>0.16306662600544006</c:v>
                </c:pt>
                <c:pt idx="10">
                  <c:v>0.17698640515005509</c:v>
                </c:pt>
                <c:pt idx="11">
                  <c:v>0.19061628940676506</c:v>
                </c:pt>
                <c:pt idx="12">
                  <c:v>0.2039827669510654</c:v>
                </c:pt>
                <c:pt idx="13">
                  <c:v>0.2171055121934963</c:v>
                </c:pt>
                <c:pt idx="14">
                  <c:v>0.22999964325956321</c:v>
                </c:pt>
                <c:pt idx="15">
                  <c:v>0.2426771331733866</c:v>
                </c:pt>
                <c:pt idx="16">
                  <c:v>0.25514772320389556</c:v>
                </c:pt>
                <c:pt idx="17">
                  <c:v>0.26741953197427687</c:v>
                </c:pt>
                <c:pt idx="18">
                  <c:v>0.2794994724179673</c:v>
                </c:pt>
                <c:pt idx="19">
                  <c:v>0.29139354383138799</c:v>
                </c:pt>
                <c:pt idx="20">
                  <c:v>0.30310704065454014</c:v>
                </c:pt>
                <c:pt idx="21">
                  <c:v>0.31322895322399064</c:v>
                </c:pt>
                <c:pt idx="22">
                  <c:v>0.3221827187737018</c:v>
                </c:pt>
                <c:pt idx="23">
                  <c:v>0.33013658981763772</c:v>
                </c:pt>
                <c:pt idx="24">
                  <c:v>0.33733906077907161</c:v>
                </c:pt>
                <c:pt idx="25">
                  <c:v>0.34386835037158836</c:v>
                </c:pt>
                <c:pt idx="26">
                  <c:v>0.34981929320459682</c:v>
                </c:pt>
                <c:pt idx="27">
                  <c:v>0.35526766629954637</c:v>
                </c:pt>
                <c:pt idx="28">
                  <c:v>0.36027898330029906</c:v>
                </c:pt>
                <c:pt idx="29">
                  <c:v>0.36490938835764053</c:v>
                </c:pt>
                <c:pt idx="30">
                  <c:v>0.36920730210548897</c:v>
                </c:pt>
                <c:pt idx="31">
                  <c:v>0.37321462648424752</c:v>
                </c:pt>
                <c:pt idx="32">
                  <c:v>0.37696774835133301</c:v>
                </c:pt>
                <c:pt idx="33">
                  <c:v>0.3804983631819579</c:v>
                </c:pt>
                <c:pt idx="34">
                  <c:v>0.3838341575548655</c:v>
                </c:pt>
                <c:pt idx="35">
                  <c:v>0.38699937753232971</c:v>
                </c:pt>
                <c:pt idx="36">
                  <c:v>0.39001530457595246</c:v>
                </c:pt>
                <c:pt idx="37">
                  <c:v>0.39290065603224578</c:v>
                </c:pt>
                <c:pt idx="38">
                  <c:v>0.39567192373427895</c:v>
                </c:pt>
                <c:pt idx="39">
                  <c:v>0.39834366155542311</c:v>
                </c:pt>
                <c:pt idx="40">
                  <c:v>0.40092873063683893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'Cumulative 40yr Model'!$C$29</c:f>
              <c:strCache>
                <c:ptCount val="1"/>
                <c:pt idx="0">
                  <c:v>Total Cumulative Carbon Ratio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'Cumulative 40yr Model'!$D$29:$AR$29</c:f>
              <c:numCache>
                <c:formatCode>0.0%</c:formatCode>
                <c:ptCount val="41"/>
                <c:pt idx="1">
                  <c:v>7.2862625987836528E-3</c:v>
                </c:pt>
                <c:pt idx="2">
                  <c:v>1.5047129138865347E-2</c:v>
                </c:pt>
                <c:pt idx="3">
                  <c:v>2.1380419012445442E-2</c:v>
                </c:pt>
                <c:pt idx="4">
                  <c:v>2.6917647418134932E-2</c:v>
                </c:pt>
                <c:pt idx="5">
                  <c:v>3.2044203847883514E-2</c:v>
                </c:pt>
                <c:pt idx="6">
                  <c:v>3.6907915685179142E-2</c:v>
                </c:pt>
                <c:pt idx="7">
                  <c:v>4.1585029197928058E-2</c:v>
                </c:pt>
                <c:pt idx="8">
                  <c:v>4.611810553311152E-2</c:v>
                </c:pt>
                <c:pt idx="9">
                  <c:v>5.0533056943772164E-2</c:v>
                </c:pt>
                <c:pt idx="10">
                  <c:v>5.4846686344162766E-2</c:v>
                </c:pt>
                <c:pt idx="11">
                  <c:v>5.9070479612923797E-2</c:v>
                </c:pt>
                <c:pt idx="12">
                  <c:v>6.3212645226022615E-2</c:v>
                </c:pt>
                <c:pt idx="13">
                  <c:v>6.7279280127588895E-2</c:v>
                </c:pt>
                <c:pt idx="14">
                  <c:v>7.1275069305076891E-2</c:v>
                </c:pt>
                <c:pt idx="15">
                  <c:v>7.5203723103911019E-2</c:v>
                </c:pt>
                <c:pt idx="16">
                  <c:v>7.9068260266243195E-2</c:v>
                </c:pt>
                <c:pt idx="17">
                  <c:v>8.2871196689150925E-2</c:v>
                </c:pt>
                <c:pt idx="18">
                  <c:v>8.6614674635999603E-2</c:v>
                </c:pt>
                <c:pt idx="19">
                  <c:v>9.0300553241273687E-2</c:v>
                </c:pt>
                <c:pt idx="20">
                  <c:v>9.393047321003109E-2</c:v>
                </c:pt>
                <c:pt idx="21">
                  <c:v>9.7067173813837421E-2</c:v>
                </c:pt>
                <c:pt idx="22">
                  <c:v>9.9841874900555475E-2</c:v>
                </c:pt>
                <c:pt idx="23">
                  <c:v>0.10230671659276797</c:v>
                </c:pt>
                <c:pt idx="24">
                  <c:v>0.10453870534574469</c:v>
                </c:pt>
                <c:pt idx="25">
                  <c:v>0.10656208051982857</c:v>
                </c:pt>
                <c:pt idx="26">
                  <c:v>0.10840623060998568</c:v>
                </c:pt>
                <c:pt idx="27">
                  <c:v>0.11009463831548894</c:v>
                </c:pt>
                <c:pt idx="28">
                  <c:v>0.11164760579611786</c:v>
                </c:pt>
                <c:pt idx="29">
                  <c:v>0.11308253167989471</c:v>
                </c:pt>
                <c:pt idx="30">
                  <c:v>0.11441442113808589</c:v>
                </c:pt>
                <c:pt idx="31">
                  <c:v>0.11565625925042421</c:v>
                </c:pt>
                <c:pt idx="32">
                  <c:v>0.11681932201606961</c:v>
                </c:pt>
                <c:pt idx="33">
                  <c:v>0.11791343161196288</c:v>
                </c:pt>
                <c:pt idx="34">
                  <c:v>0.11894716788975419</c:v>
                </c:pt>
                <c:pt idx="35">
                  <c:v>0.11992804451226692</c:v>
                </c:pt>
                <c:pt idx="36">
                  <c:v>0.12086265643603707</c:v>
                </c:pt>
                <c:pt idx="37">
                  <c:v>0.12175680401862581</c:v>
                </c:pt>
                <c:pt idx="38">
                  <c:v>0.12261559794859042</c:v>
                </c:pt>
                <c:pt idx="39">
                  <c:v>0.12344354835611404</c:v>
                </c:pt>
                <c:pt idx="40">
                  <c:v>0.12424464080706357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80544"/>
        <c:axId val="512781328"/>
      </c:lineChart>
      <c:catAx>
        <c:axId val="512921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216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1292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Active Turbines (Thousands)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21240"/>
        <c:crosses val="autoZero"/>
        <c:crossBetween val="midCat"/>
      </c:valAx>
      <c:valAx>
        <c:axId val="512781328"/>
        <c:scaling>
          <c:orientation val="minMax"/>
          <c:max val="1.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Cumulative Carbon Ratios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780544"/>
        <c:crosses val="max"/>
        <c:crossBetween val="between"/>
      </c:valAx>
      <c:catAx>
        <c:axId val="512780544"/>
        <c:scaling>
          <c:orientation val="minMax"/>
        </c:scaling>
        <c:delete val="1"/>
        <c:axPos val="b"/>
        <c:majorTickMark val="out"/>
        <c:minorTickMark val="none"/>
        <c:tickLblPos val="nextTo"/>
        <c:crossAx val="512781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82089602187704"/>
          <c:y val="0.818500335739201"/>
          <c:w val="0.57102266588261164"/>
          <c:h val="0.16974186601004523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Carbon </a:t>
            </a:r>
            <a:r>
              <a:rPr lang="en-US" baseline="0"/>
              <a:t>Impact of Instantaneous Model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38345332777987"/>
          <c:y val="0.21043952828321591"/>
          <c:w val="0.84267280191991112"/>
          <c:h val="0.595612803383880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'Instantatneous Model'!$D$11:$D$13</c:f>
              <c:strCache>
                <c:ptCount val="3"/>
                <c:pt idx="0">
                  <c:v>Incremental Carbon Ratio</c:v>
                </c:pt>
                <c:pt idx="1">
                  <c:v>Production Carbon Ratio</c:v>
                </c:pt>
                <c:pt idx="2">
                  <c:v>Total Carbon Ratio</c:v>
                </c:pt>
              </c:strCache>
            </c:strRef>
          </c:cat>
          <c:val>
            <c:numRef>
              <c:f>'Instantatneous Model'!$K$11:$K$13</c:f>
              <c:numCache>
                <c:formatCode>0%</c:formatCode>
                <c:ptCount val="3"/>
                <c:pt idx="0">
                  <c:v>4.098246569012546</c:v>
                </c:pt>
                <c:pt idx="1">
                  <c:v>1.6840154212773548</c:v>
                </c:pt>
                <c:pt idx="2">
                  <c:v>0.52186305231310848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2779368"/>
        <c:axId val="512778584"/>
      </c:barChart>
      <c:catAx>
        <c:axId val="512779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778584"/>
        <c:crosses val="autoZero"/>
        <c:auto val="1"/>
        <c:lblAlgn val="ctr"/>
        <c:lblOffset val="100"/>
        <c:noMultiLvlLbl val="0"/>
      </c:catAx>
      <c:valAx>
        <c:axId val="51277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779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Costs of Instantaneous</a:t>
            </a:r>
            <a:r>
              <a:rPr lang="en-US" baseline="0"/>
              <a:t> Model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'Instantatneous Model'!$D$5:$D$6</c:f>
              <c:strCache>
                <c:ptCount val="2"/>
                <c:pt idx="0">
                  <c:v>Wind Cost ($ Billions)</c:v>
                </c:pt>
                <c:pt idx="1">
                  <c:v>Transmission Cost ($ Billions)</c:v>
                </c:pt>
              </c:strCache>
            </c:strRef>
          </c:cat>
          <c:val>
            <c:numRef>
              <c:f>'Instantatneous Model'!$K$5:$K$6</c:f>
              <c:numCache>
                <c:formatCode>0</c:formatCode>
                <c:ptCount val="2"/>
                <c:pt idx="0">
                  <c:v>419.45445000000001</c:v>
                </c:pt>
                <c:pt idx="1">
                  <c:v>47.947506712876717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2778976"/>
        <c:axId val="515496304"/>
      </c:barChart>
      <c:catAx>
        <c:axId val="51277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496304"/>
        <c:crosses val="autoZero"/>
        <c:auto val="1"/>
        <c:lblAlgn val="ctr"/>
        <c:lblOffset val="100"/>
        <c:noMultiLvlLbl val="0"/>
      </c:catAx>
      <c:valAx>
        <c:axId val="51549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77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Tarrif</a:t>
            </a:r>
            <a:r>
              <a:rPr lang="en-US" baseline="0"/>
              <a:t> Scheme Annual Costs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42251791859675"/>
          <c:y val="8.5703983971009062E-2"/>
          <c:w val="0.85475320278921374"/>
          <c:h val="0.60162264614529593"/>
        </c:manualLayout>
      </c:layout>
      <c:areaChart>
        <c:grouping val="stacked"/>
        <c:varyColors val="0"/>
        <c:ser>
          <c:idx val="1"/>
          <c:order val="0"/>
          <c:tx>
            <c:v>Transmission Line Construction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'Cumulative 40yr Model'!$D$2:$AR$2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'Cumulative 40yr Model'!$D$24:$AR$24</c:f>
              <c:numCache>
                <c:formatCode>0.00</c:formatCode>
                <c:ptCount val="41"/>
                <c:pt idx="0">
                  <c:v>0</c:v>
                </c:pt>
                <c:pt idx="1">
                  <c:v>0.12238369680365298</c:v>
                </c:pt>
                <c:pt idx="2">
                  <c:v>0.24356469946169781</c:v>
                </c:pt>
                <c:pt idx="3">
                  <c:v>0.99539911177546658</c:v>
                </c:pt>
                <c:pt idx="4">
                  <c:v>0.89899425568287139</c:v>
                </c:pt>
                <c:pt idx="5">
                  <c:v>0.90482715266437974</c:v>
                </c:pt>
                <c:pt idx="6">
                  <c:v>0.89856231207742543</c:v>
                </c:pt>
                <c:pt idx="7">
                  <c:v>0.893951025042935</c:v>
                </c:pt>
                <c:pt idx="8">
                  <c:v>0.88933701686728084</c:v>
                </c:pt>
                <c:pt idx="9">
                  <c:v>0.88491744052435317</c:v>
                </c:pt>
                <c:pt idx="10">
                  <c:v>0.88066654402306421</c:v>
                </c:pt>
                <c:pt idx="11">
                  <c:v>0.87658543270159128</c:v>
                </c:pt>
                <c:pt idx="12">
                  <c:v>0.87267202461667182</c:v>
                </c:pt>
                <c:pt idx="13">
                  <c:v>0.86892466403151669</c:v>
                </c:pt>
                <c:pt idx="14">
                  <c:v>0.86534168616779605</c:v>
                </c:pt>
                <c:pt idx="15">
                  <c:v>0.86192146899233002</c:v>
                </c:pt>
                <c:pt idx="16">
                  <c:v>0.85866242642846791</c:v>
                </c:pt>
                <c:pt idx="17">
                  <c:v>0.85556300862375345</c:v>
                </c:pt>
                <c:pt idx="18">
                  <c:v>0.85262170137877991</c:v>
                </c:pt>
                <c:pt idx="19">
                  <c:v>0.84983702568690245</c:v>
                </c:pt>
                <c:pt idx="20">
                  <c:v>0.84720753727033082</c:v>
                </c:pt>
                <c:pt idx="21">
                  <c:v>-0.19588940054044304</c:v>
                </c:pt>
                <c:pt idx="22">
                  <c:v>-3.3254305070841358E-2</c:v>
                </c:pt>
                <c:pt idx="23">
                  <c:v>-1.6793877086703286E-2</c:v>
                </c:pt>
                <c:pt idx="24">
                  <c:v>9.092021627834547E-2</c:v>
                </c:pt>
                <c:pt idx="25">
                  <c:v>8.3774061741378775E-2</c:v>
                </c:pt>
                <c:pt idx="26">
                  <c:v>0.10257902305203687</c:v>
                </c:pt>
                <c:pt idx="27">
                  <c:v>0.11645049822603723</c:v>
                </c:pt>
                <c:pt idx="28">
                  <c:v>0.13079052374035513</c:v>
                </c:pt>
                <c:pt idx="29">
                  <c:v>0.14475548911294311</c:v>
                </c:pt>
                <c:pt idx="30">
                  <c:v>0.15847912966249333</c:v>
                </c:pt>
                <c:pt idx="31">
                  <c:v>0.17195024954142329</c:v>
                </c:pt>
                <c:pt idx="32">
                  <c:v>0.18517820847634853</c:v>
                </c:pt>
                <c:pt idx="33">
                  <c:v>0.19816935143181122</c:v>
                </c:pt>
                <c:pt idx="34">
                  <c:v>0.21093028805391303</c:v>
                </c:pt>
                <c:pt idx="35">
                  <c:v>0.22346744812218691</c:v>
                </c:pt>
                <c:pt idx="36">
                  <c:v>0.23578714434875031</c:v>
                </c:pt>
                <c:pt idx="37">
                  <c:v>0.24789556694267317</c:v>
                </c:pt>
                <c:pt idx="38">
                  <c:v>0.25979878718831478</c:v>
                </c:pt>
                <c:pt idx="39">
                  <c:v>0.27150275978254701</c:v>
                </c:pt>
                <c:pt idx="40">
                  <c:v>0.28301332528165191</c:v>
                </c:pt>
              </c:numCache>
            </c:numRef>
          </c:val>
        </c:ser>
        <c:ser>
          <c:idx val="2"/>
          <c:order val="1"/>
          <c:tx>
            <c:v>Newly Built Turbines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'Cumulative 40yr Model'!$D$2:$AR$2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'Cumulative 40yr Model'!$D$21:$AR$21</c:f>
              <c:numCache>
                <c:formatCode>0.00</c:formatCode>
                <c:ptCount val="41"/>
                <c:pt idx="0">
                  <c:v>8.7931999999999988</c:v>
                </c:pt>
                <c:pt idx="1">
                  <c:v>8.5993394143074564</c:v>
                </c:pt>
                <c:pt idx="2">
                  <c:v>8.4110752744309742</c:v>
                </c:pt>
                <c:pt idx="3">
                  <c:v>7.5964588137339515</c:v>
                </c:pt>
                <c:pt idx="4">
                  <c:v>7.6457465165247767</c:v>
                </c:pt>
                <c:pt idx="5">
                  <c:v>7.5928089107586176</c:v>
                </c:pt>
                <c:pt idx="6">
                  <c:v>7.5538437540689101</c:v>
                </c:pt>
                <c:pt idx="7">
                  <c:v>7.5148556038654979</c:v>
                </c:pt>
                <c:pt idx="8">
                  <c:v>7.4775103934250646</c:v>
                </c:pt>
                <c:pt idx="9">
                  <c:v>7.4415905196446044</c:v>
                </c:pt>
                <c:pt idx="10">
                  <c:v>7.407105322579258</c:v>
                </c:pt>
                <c:pt idx="11">
                  <c:v>7.3740372099072662</c:v>
                </c:pt>
                <c:pt idx="12">
                  <c:v>7.3423721907312078</c:v>
                </c:pt>
                <c:pt idx="13">
                  <c:v>7.3120961977532541</c:v>
                </c:pt>
                <c:pt idx="14">
                  <c:v>7.28319552486996</c:v>
                </c:pt>
                <c:pt idx="15">
                  <c:v>7.2556567698088825</c:v>
                </c:pt>
                <c:pt idx="16">
                  <c:v>7.2294668363902153</c:v>
                </c:pt>
                <c:pt idx="17">
                  <c:v>7.2046129297008896</c:v>
                </c:pt>
                <c:pt idx="18">
                  <c:v>7.1810825522049209</c:v>
                </c:pt>
                <c:pt idx="19">
                  <c:v>7.1588634998234113</c:v>
                </c:pt>
                <c:pt idx="20">
                  <c:v>-1.6552561419006842</c:v>
                </c:pt>
                <c:pt idx="21">
                  <c:v>-0.28099730031991155</c:v>
                </c:pt>
                <c:pt idx="22">
                  <c:v>-0.14190746470918386</c:v>
                </c:pt>
                <c:pt idx="23">
                  <c:v>0.76827151444880337</c:v>
                </c:pt>
                <c:pt idx="24">
                  <c:v>0.70788684761303899</c:v>
                </c:pt>
                <c:pt idx="25">
                  <c:v>0.86678787861215656</c:v>
                </c:pt>
                <c:pt idx="26">
                  <c:v>0.98400118579286489</c:v>
                </c:pt>
                <c:pt idx="27">
                  <c:v>1.1051737211219315</c:v>
                </c:pt>
                <c:pt idx="28">
                  <c:v>1.2231770160456676</c:v>
                </c:pt>
                <c:pt idx="29">
                  <c:v>1.3391411276627805</c:v>
                </c:pt>
                <c:pt idx="30">
                  <c:v>1.4529714515923366</c:v>
                </c:pt>
                <c:pt idx="31">
                  <c:v>1.5647470770801684</c:v>
                </c:pt>
                <c:pt idx="32">
                  <c:v>1.6745216187756968</c:v>
                </c:pt>
                <c:pt idx="33">
                  <c:v>1.7823509278749186</c:v>
                </c:pt>
                <c:pt idx="34">
                  <c:v>1.888289335709896</c:v>
                </c:pt>
                <c:pt idx="35">
                  <c:v>1.9923901843985099</c:v>
                </c:pt>
                <c:pt idx="36">
                  <c:v>2.0947057809138658</c:v>
                </c:pt>
                <c:pt idx="37">
                  <c:v>2.1952874273206007</c:v>
                </c:pt>
                <c:pt idx="38">
                  <c:v>2.2941854405249469</c:v>
                </c:pt>
                <c:pt idx="39">
                  <c:v>2.3914491729504244</c:v>
                </c:pt>
                <c:pt idx="40">
                  <c:v>2.4871270326565909</c:v>
                </c:pt>
              </c:numCache>
            </c:numRef>
          </c:val>
        </c:ser>
        <c:ser>
          <c:idx val="3"/>
          <c:order val="2"/>
          <c:tx>
            <c:v>Replaced Turbines</c:v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'Cumulative 40yr Model'!$D$2:$AR$2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'Cumulative 40yr Model'!$D$22:$AR$22</c:f>
              <c:numCache>
                <c:formatCode>0.00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8.7932000000000006</c:v>
                </c:pt>
                <c:pt idx="21">
                  <c:v>8.5993394143074564</c:v>
                </c:pt>
                <c:pt idx="22">
                  <c:v>8.4110752744309742</c:v>
                </c:pt>
                <c:pt idx="23">
                  <c:v>7.5964588137339506</c:v>
                </c:pt>
                <c:pt idx="24">
                  <c:v>7.6457465165247767</c:v>
                </c:pt>
                <c:pt idx="25">
                  <c:v>7.5928089107586185</c:v>
                </c:pt>
                <c:pt idx="26">
                  <c:v>7.5538437540689083</c:v>
                </c:pt>
                <c:pt idx="27">
                  <c:v>7.5148556038654979</c:v>
                </c:pt>
                <c:pt idx="28">
                  <c:v>7.4775103934250646</c:v>
                </c:pt>
                <c:pt idx="29">
                  <c:v>7.4415905196446053</c:v>
                </c:pt>
                <c:pt idx="30">
                  <c:v>7.407105322579258</c:v>
                </c:pt>
                <c:pt idx="31">
                  <c:v>7.3740372099072662</c:v>
                </c:pt>
                <c:pt idx="32">
                  <c:v>7.3423721907312069</c:v>
                </c:pt>
                <c:pt idx="33">
                  <c:v>7.3120961977532541</c:v>
                </c:pt>
                <c:pt idx="34">
                  <c:v>7.28319552486996</c:v>
                </c:pt>
                <c:pt idx="35">
                  <c:v>7.2556567698088825</c:v>
                </c:pt>
                <c:pt idx="36">
                  <c:v>7.2294668363902153</c:v>
                </c:pt>
                <c:pt idx="37">
                  <c:v>7.2046129297008887</c:v>
                </c:pt>
                <c:pt idx="38">
                  <c:v>7.1810825522049209</c:v>
                </c:pt>
                <c:pt idx="39">
                  <c:v>7.1588634998234113</c:v>
                </c:pt>
                <c:pt idx="40">
                  <c:v>7.137943858099316</c:v>
                </c:pt>
              </c:numCache>
            </c:numRef>
          </c:val>
        </c:ser>
        <c:ser>
          <c:idx val="4"/>
          <c:order val="3"/>
          <c:tx>
            <c:v>Maintenance</c:v>
          </c:tx>
          <c:spPr>
            <a:solidFill>
              <a:schemeClr val="accent5"/>
            </a:solidFill>
            <a:ln w="25400">
              <a:noFill/>
            </a:ln>
            <a:effectLst/>
          </c:spPr>
          <c:val>
            <c:numRef>
              <c:f>'Cumulative 40yr Model'!$D$23:$AR$23</c:f>
              <c:numCache>
                <c:formatCode>0.00</c:formatCode>
                <c:ptCount val="41"/>
                <c:pt idx="0">
                  <c:v>0</c:v>
                </c:pt>
                <c:pt idx="1">
                  <c:v>0.15940888888888888</c:v>
                </c:pt>
                <c:pt idx="2">
                  <c:v>0.31530334610732824</c:v>
                </c:pt>
                <c:pt idx="3">
                  <c:v>0.46778482769057977</c:v>
                </c:pt>
                <c:pt idx="4">
                  <c:v>0.60549840852435299</c:v>
                </c:pt>
                <c:pt idx="5">
                  <c:v>0.74410550911632278</c:v>
                </c:pt>
                <c:pt idx="6">
                  <c:v>0.88175292211837952</c:v>
                </c:pt>
                <c:pt idx="7">
                  <c:v>1.0186939492389271</c:v>
                </c:pt>
                <c:pt idx="8">
                  <c:v>1.1549281736364885</c:v>
                </c:pt>
                <c:pt idx="9">
                  <c:v>1.2904853795991651</c:v>
                </c:pt>
                <c:pt idx="10">
                  <c:v>1.4253914065634825</c:v>
                </c:pt>
                <c:pt idx="11">
                  <c:v>1.5596722632886035</c:v>
                </c:pt>
                <c:pt idx="12">
                  <c:v>1.6933536396085598</c:v>
                </c:pt>
                <c:pt idx="13">
                  <c:v>1.8264609717212306</c:v>
                </c:pt>
                <c:pt idx="14">
                  <c:v>1.9590194408033075</c:v>
                </c:pt>
                <c:pt idx="15">
                  <c:v>2.0910539795582599</c:v>
                </c:pt>
                <c:pt idx="16">
                  <c:v>2.2225892777243859</c:v>
                </c:pt>
                <c:pt idx="17">
                  <c:v>2.3536497876238576</c:v>
                </c:pt>
                <c:pt idx="18">
                  <c:v>2.4842597296242834</c:v>
                </c:pt>
                <c:pt idx="19">
                  <c:v>2.6144430975297528</c:v>
                </c:pt>
                <c:pt idx="20">
                  <c:v>2.7442236639008204</c:v>
                </c:pt>
                <c:pt idx="21">
                  <c:v>2.7142160964160715</c:v>
                </c:pt>
                <c:pt idx="22">
                  <c:v>2.7091219933108563</c:v>
                </c:pt>
                <c:pt idx="23">
                  <c:v>2.7065494018453689</c:v>
                </c:pt>
                <c:pt idx="24">
                  <c:v>2.7204771310546736</c:v>
                </c:pt>
                <c:pt idx="25">
                  <c:v>2.7333101674733902</c:v>
                </c:pt>
                <c:pt idx="26">
                  <c:v>2.7490238658575867</c:v>
                </c:pt>
                <c:pt idx="27">
                  <c:v>2.7668624838456441</c:v>
                </c:pt>
                <c:pt idx="28">
                  <c:v>2.7868977969186148</c:v>
                </c:pt>
                <c:pt idx="29">
                  <c:v>2.8090723510106712</c:v>
                </c:pt>
                <c:pt idx="30">
                  <c:v>2.8333491784712246</c:v>
                </c:pt>
                <c:pt idx="31">
                  <c:v>2.8596895965995062</c:v>
                </c:pt>
                <c:pt idx="32">
                  <c:v>2.8880563564763984</c:v>
                </c:pt>
                <c:pt idx="33">
                  <c:v>2.918413181144262</c:v>
                </c:pt>
                <c:pt idx="34">
                  <c:v>2.9507248061525209</c:v>
                </c:pt>
                <c:pt idx="35">
                  <c:v>2.9849569520045716</c:v>
                </c:pt>
                <c:pt idx="36">
                  <c:v>3.0210763062246615</c:v>
                </c:pt>
                <c:pt idx="37">
                  <c:v>3.0590505045921055</c:v>
                </c:pt>
                <c:pt idx="38">
                  <c:v>3.0988481129236489</c:v>
                </c:pt>
                <c:pt idx="39">
                  <c:v>3.1404386092138665</c:v>
                </c:pt>
                <c:pt idx="40">
                  <c:v>3.1837923661503948</c:v>
                </c:pt>
              </c:numCache>
            </c:numRef>
          </c:val>
        </c:ser>
        <c:ser>
          <c:idx val="0"/>
          <c:order val="4"/>
          <c:tx>
            <c:v>Unused Income</c:v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'Cumulative 40yr Model'!$D$2:$AR$2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'Cumulative 40yr Model'!$D$25:$AR$25</c:f>
              <c:numCache>
                <c:formatCode>0.00</c:formatCode>
                <c:ptCount val="41"/>
                <c:pt idx="0">
                  <c:v>1.7763568394002505E-15</c:v>
                </c:pt>
                <c:pt idx="1">
                  <c:v>1.0408340855860843E-15</c:v>
                </c:pt>
                <c:pt idx="2">
                  <c:v>-1.1379786002407855E-15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-9.9920072216264089E-16</c:v>
                </c:pt>
                <c:pt idx="7">
                  <c:v>0</c:v>
                </c:pt>
                <c:pt idx="8">
                  <c:v>0</c:v>
                </c:pt>
                <c:pt idx="9">
                  <c:v>1.3322676295501878E-15</c:v>
                </c:pt>
                <c:pt idx="10">
                  <c:v>0</c:v>
                </c:pt>
                <c:pt idx="11">
                  <c:v>9.9920072216264089E-16</c:v>
                </c:pt>
                <c:pt idx="12">
                  <c:v>0</c:v>
                </c:pt>
                <c:pt idx="13">
                  <c:v>8.8817841970012523E-16</c:v>
                </c:pt>
                <c:pt idx="14">
                  <c:v>0</c:v>
                </c:pt>
                <c:pt idx="15">
                  <c:v>8.8817841970012523E-16</c:v>
                </c:pt>
                <c:pt idx="16">
                  <c:v>1.3322676295501878E-15</c:v>
                </c:pt>
                <c:pt idx="17">
                  <c:v>-9.9920072216264089E-16</c:v>
                </c:pt>
                <c:pt idx="18">
                  <c:v>9.9920072216264089E-16</c:v>
                </c:pt>
                <c:pt idx="19">
                  <c:v>0</c:v>
                </c:pt>
                <c:pt idx="20">
                  <c:v>0</c:v>
                </c:pt>
                <c:pt idx="21">
                  <c:v>2.4980018054066022E-16</c:v>
                </c:pt>
                <c:pt idx="22">
                  <c:v>-1.3461454173580023E-15</c:v>
                </c:pt>
                <c:pt idx="23">
                  <c:v>1.5161483180037294E-15</c:v>
                </c:pt>
                <c:pt idx="24">
                  <c:v>-3.4694469519536142E-16</c:v>
                </c:pt>
                <c:pt idx="25">
                  <c:v>3.6082248300317588E-16</c:v>
                </c:pt>
                <c:pt idx="26">
                  <c:v>1.1657341758564144E-15</c:v>
                </c:pt>
                <c:pt idx="27">
                  <c:v>1.3600232051658168E-15</c:v>
                </c:pt>
                <c:pt idx="28">
                  <c:v>1.0269562977782698E-15</c:v>
                </c:pt>
                <c:pt idx="29">
                  <c:v>7.7715611723760958E-16</c:v>
                </c:pt>
                <c:pt idx="30">
                  <c:v>-3.3306690738754696E-16</c:v>
                </c:pt>
                <c:pt idx="31">
                  <c:v>-3.8857805861880479E-16</c:v>
                </c:pt>
                <c:pt idx="32">
                  <c:v>-7.2164496600635175E-16</c:v>
                </c:pt>
                <c:pt idx="33">
                  <c:v>1.3600232051658168E-15</c:v>
                </c:pt>
                <c:pt idx="34">
                  <c:v>-4.7184478546569153E-16</c:v>
                </c:pt>
                <c:pt idx="35">
                  <c:v>7.4940054162198066E-16</c:v>
                </c:pt>
                <c:pt idx="36">
                  <c:v>6.106226635438361E-16</c:v>
                </c:pt>
                <c:pt idx="37">
                  <c:v>0</c:v>
                </c:pt>
                <c:pt idx="38">
                  <c:v>6.106226635438361E-16</c:v>
                </c:pt>
                <c:pt idx="39">
                  <c:v>0</c:v>
                </c:pt>
                <c:pt idx="40">
                  <c:v>-9.9920072216264089E-16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082408"/>
        <c:axId val="531082800"/>
      </c:areaChart>
      <c:catAx>
        <c:axId val="531082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0828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10828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Expenditures ($ Billions)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082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4750868672570687E-2"/>
          <c:y val="0.77007421846366575"/>
          <c:w val="0.58593147019972602"/>
          <c:h val="0.21924112201950638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Equivalent Cost of GHG Reduction ($/ton)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68110236220472E-2"/>
          <c:y val="0.14393518518518519"/>
          <c:w val="0.85211964129483819"/>
          <c:h val="0.5310728346456693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'Dashboard and Input Variables'!$A$48</c:f>
              <c:strCache>
                <c:ptCount val="1"/>
                <c:pt idx="0">
                  <c:v>NPV Turbine CapX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'Dashboard and Input Variables'!$U$48</c:f>
              <c:numCache>
                <c:formatCode>"$"#,##0.00_);[Red]\("$"#,##0.00\)</c:formatCode>
                <c:ptCount val="1"/>
                <c:pt idx="0">
                  <c:v>48.164257988836646</c:v>
                </c:pt>
              </c:numCache>
            </c:numRef>
          </c:val>
        </c:ser>
        <c:ser>
          <c:idx val="1"/>
          <c:order val="1"/>
          <c:tx>
            <c:strRef>
              <c:f>'Dashboard and Input Variables'!$A$49</c:f>
              <c:strCache>
                <c:ptCount val="1"/>
                <c:pt idx="0">
                  <c:v>NPV Turbine Maintenance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'Dashboard and Input Variables'!$U$49</c:f>
              <c:numCache>
                <c:formatCode>"$"#,##0.00_);[Red]\("$"#,##0.00\)</c:formatCode>
                <c:ptCount val="1"/>
                <c:pt idx="0">
                  <c:v>8.6221285770239131</c:v>
                </c:pt>
              </c:numCache>
            </c:numRef>
          </c:val>
        </c:ser>
        <c:ser>
          <c:idx val="2"/>
          <c:order val="2"/>
          <c:tx>
            <c:strRef>
              <c:f>'Dashboard and Input Variables'!$A$50</c:f>
              <c:strCache>
                <c:ptCount val="1"/>
                <c:pt idx="0">
                  <c:v>NPV  Intra-Province Transmission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'Dashboard and Input Variables'!$U$50</c:f>
              <c:numCache>
                <c:formatCode>"$"#,##0.00_);[Red]\("$"#,##0.00\)</c:formatCode>
                <c:ptCount val="1"/>
                <c:pt idx="0">
                  <c:v>0.64548582021979128</c:v>
                </c:pt>
              </c:numCache>
            </c:numRef>
          </c:val>
        </c:ser>
        <c:ser>
          <c:idx val="3"/>
          <c:order val="3"/>
          <c:tx>
            <c:strRef>
              <c:f>'Dashboard and Input Variables'!$A$51</c:f>
              <c:strCache>
                <c:ptCount val="1"/>
                <c:pt idx="0">
                  <c:v>NPV Extra-Province Transmission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'Dashboard and Input Variables'!$U$51</c:f>
              <c:numCache>
                <c:formatCode>"$"#,##0.00_);[Red]\("$"#,##0.00\)</c:formatCode>
                <c:ptCount val="1"/>
                <c:pt idx="0">
                  <c:v>2.9359726310816736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083584"/>
        <c:axId val="531083976"/>
      </c:barChart>
      <c:catAx>
        <c:axId val="5310835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31083976"/>
        <c:crosses val="autoZero"/>
        <c:auto val="1"/>
        <c:lblAlgn val="ctr"/>
        <c:lblOffset val="100"/>
        <c:noMultiLvlLbl val="0"/>
      </c:catAx>
      <c:valAx>
        <c:axId val="53108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08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0744750656167981E-2"/>
          <c:y val="0.76640966754155726"/>
          <c:w val="0.89481080489938769"/>
          <c:h val="0.185189559638378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23487886675707"/>
          <c:y val="3.0621527638994363E-2"/>
          <c:w val="0.66669356865138785"/>
          <c:h val="0.757140839628548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'Equivalent_$Ton'!$A$2</c:f>
              <c:strCache>
                <c:ptCount val="1"/>
                <c:pt idx="0">
                  <c:v>Reference Costs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'Equivalent_$Ton'!$B$1:$E$1</c:f>
              <c:strCache>
                <c:ptCount val="4"/>
                <c:pt idx="0">
                  <c:v>Proposed Scheme </c:v>
                </c:pt>
                <c:pt idx="1">
                  <c:v>U.S. Abatement of 3 GT CO2e</c:v>
                </c:pt>
                <c:pt idx="2">
                  <c:v>U.S. High-Penetration Wind</c:v>
                </c:pt>
                <c:pt idx="3">
                  <c:v>2015 California Cap and Trade</c:v>
                </c:pt>
              </c:strCache>
            </c:strRef>
          </c:cat>
          <c:val>
            <c:numRef>
              <c:f>'Equivalent_$Ton'!$B$2:$E$2</c:f>
              <c:numCache>
                <c:formatCode>_("$"* #,##0_);_("$"* \(#,##0\);_("$"* "-"??_);_(@_)</c:formatCode>
                <c:ptCount val="4"/>
                <c:pt idx="1">
                  <c:v>50</c:v>
                </c:pt>
                <c:pt idx="2">
                  <c:v>38</c:v>
                </c:pt>
                <c:pt idx="3">
                  <c:v>12</c:v>
                </c:pt>
              </c:numCache>
            </c:numRef>
          </c:val>
        </c:ser>
        <c:ser>
          <c:idx val="1"/>
          <c:order val="1"/>
          <c:tx>
            <c:strRef>
              <c:f>'Equivalent_$Ton'!$A$3</c:f>
              <c:strCache>
                <c:ptCount val="1"/>
                <c:pt idx="0">
                  <c:v>NPV Turbine CapX</c:v>
                </c:pt>
              </c:strCache>
            </c:strRef>
          </c:tx>
          <c:spPr>
            <a:pattFill prst="wdDn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'Equivalent_$Ton'!$B$1:$E$1</c:f>
              <c:strCache>
                <c:ptCount val="4"/>
                <c:pt idx="0">
                  <c:v>Proposed Scheme </c:v>
                </c:pt>
                <c:pt idx="1">
                  <c:v>U.S. Abatement of 3 GT CO2e</c:v>
                </c:pt>
                <c:pt idx="2">
                  <c:v>U.S. High-Penetration Wind</c:v>
                </c:pt>
                <c:pt idx="3">
                  <c:v>2015 California Cap and Trade</c:v>
                </c:pt>
              </c:strCache>
            </c:strRef>
          </c:cat>
          <c:val>
            <c:numRef>
              <c:f>'Equivalent_$Ton'!$B$3:$E$3</c:f>
              <c:numCache>
                <c:formatCode>_("$"* #,##0_);_("$"* \(#,##0\);_("$"* "-"??_);_(@_)</c:formatCode>
                <c:ptCount val="4"/>
                <c:pt idx="0">
                  <c:v>48.164257988836646</c:v>
                </c:pt>
              </c:numCache>
            </c:numRef>
          </c:val>
        </c:ser>
        <c:ser>
          <c:idx val="2"/>
          <c:order val="2"/>
          <c:tx>
            <c:strRef>
              <c:f>'Equivalent_$Ton'!$A$4</c:f>
              <c:strCache>
                <c:ptCount val="1"/>
                <c:pt idx="0">
                  <c:v>NPV Turbine Maintenance</c:v>
                </c:pt>
              </c:strCache>
            </c:strRef>
          </c:tx>
          <c:spPr>
            <a:pattFill prst="smGrid">
              <a:fgClr>
                <a:schemeClr val="accent5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'Equivalent_$Ton'!$B$1:$E$1</c:f>
              <c:strCache>
                <c:ptCount val="4"/>
                <c:pt idx="0">
                  <c:v>Proposed Scheme </c:v>
                </c:pt>
                <c:pt idx="1">
                  <c:v>U.S. Abatement of 3 GT CO2e</c:v>
                </c:pt>
                <c:pt idx="2">
                  <c:v>U.S. High-Penetration Wind</c:v>
                </c:pt>
                <c:pt idx="3">
                  <c:v>2015 California Cap and Trade</c:v>
                </c:pt>
              </c:strCache>
            </c:strRef>
          </c:cat>
          <c:val>
            <c:numRef>
              <c:f>'Equivalent_$Ton'!$B$4:$E$4</c:f>
              <c:numCache>
                <c:formatCode>_("$"* #,##0_);_("$"* \(#,##0\);_("$"* "-"??_);_(@_)</c:formatCode>
                <c:ptCount val="4"/>
                <c:pt idx="0">
                  <c:v>8.6221285770239131</c:v>
                </c:pt>
              </c:numCache>
            </c:numRef>
          </c:val>
        </c:ser>
        <c:ser>
          <c:idx val="3"/>
          <c:order val="3"/>
          <c:tx>
            <c:strRef>
              <c:f>'Equivalent_$Ton'!$A$5</c:f>
              <c:strCache>
                <c:ptCount val="1"/>
                <c:pt idx="0">
                  <c:v>NPV  Intra-Province Transmission</c:v>
                </c:pt>
              </c:strCache>
            </c:strRef>
          </c:tx>
          <c:spPr>
            <a:pattFill prst="pct80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'Equivalent_$Ton'!$B$1:$E$1</c:f>
              <c:strCache>
                <c:ptCount val="4"/>
                <c:pt idx="0">
                  <c:v>Proposed Scheme </c:v>
                </c:pt>
                <c:pt idx="1">
                  <c:v>U.S. Abatement of 3 GT CO2e</c:v>
                </c:pt>
                <c:pt idx="2">
                  <c:v>U.S. High-Penetration Wind</c:v>
                </c:pt>
                <c:pt idx="3">
                  <c:v>2015 California Cap and Trade</c:v>
                </c:pt>
              </c:strCache>
            </c:strRef>
          </c:cat>
          <c:val>
            <c:numRef>
              <c:f>'Equivalent_$Ton'!$B$5:$E$5</c:f>
              <c:numCache>
                <c:formatCode>_("$"* #,##0_);_("$"* \(#,##0\);_("$"* "-"??_);_(@_)</c:formatCode>
                <c:ptCount val="4"/>
                <c:pt idx="0">
                  <c:v>0.64548582021979128</c:v>
                </c:pt>
              </c:numCache>
            </c:numRef>
          </c:val>
        </c:ser>
        <c:ser>
          <c:idx val="4"/>
          <c:order val="4"/>
          <c:tx>
            <c:strRef>
              <c:f>'Equivalent_$Ton'!$A$6</c:f>
              <c:strCache>
                <c:ptCount val="1"/>
                <c:pt idx="0">
                  <c:v>NPV Extra-Province Transmission</c:v>
                </c:pt>
              </c:strCache>
            </c:strRef>
          </c:tx>
          <c:spPr>
            <a:pattFill prst="wdUp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'Equivalent_$Ton'!$B$1:$E$1</c:f>
              <c:strCache>
                <c:ptCount val="4"/>
                <c:pt idx="0">
                  <c:v>Proposed Scheme </c:v>
                </c:pt>
                <c:pt idx="1">
                  <c:v>U.S. Abatement of 3 GT CO2e</c:v>
                </c:pt>
                <c:pt idx="2">
                  <c:v>U.S. High-Penetration Wind</c:v>
                </c:pt>
                <c:pt idx="3">
                  <c:v>2015 California Cap and Trade</c:v>
                </c:pt>
              </c:strCache>
            </c:strRef>
          </c:cat>
          <c:val>
            <c:numRef>
              <c:f>'Equivalent_$Ton'!$B$6:$E$6</c:f>
              <c:numCache>
                <c:formatCode>_("$"* #,##0_);_("$"* \(#,##0\);_("$"* "-"??_);_(@_)</c:formatCode>
                <c:ptCount val="4"/>
                <c:pt idx="0">
                  <c:v>2.9359726310816736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31084368"/>
        <c:axId val="531085152"/>
      </c:barChart>
      <c:catAx>
        <c:axId val="531084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085152"/>
        <c:crosses val="autoZero"/>
        <c:auto val="1"/>
        <c:lblAlgn val="ctr"/>
        <c:lblOffset val="100"/>
        <c:noMultiLvlLbl val="0"/>
      </c:catAx>
      <c:valAx>
        <c:axId val="531085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Equivalent Cost of GHG Reduction ($/ton CO</a:t>
                </a:r>
                <a:r>
                  <a:rPr lang="en-US" sz="1000" b="0" i="0" baseline="-25000">
                    <a:effectLst/>
                  </a:rPr>
                  <a:t>2</a:t>
                </a:r>
                <a:r>
                  <a:rPr lang="en-US" sz="1000" b="0" i="0" baseline="0">
                    <a:effectLst/>
                  </a:rPr>
                  <a:t>e)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8224016225525964"/>
              <c:y val="0.888798646362098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08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50441013970939"/>
          <c:y val="2.3272979202472788E-2"/>
          <c:w val="0.33014075325787645"/>
          <c:h val="0.4218766404199474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729046369203849"/>
          <c:y val="5.0925925925925923E-2"/>
          <c:w val="0.57682064741907257"/>
          <c:h val="0.658644969378827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'Equivalent_$Ton'!$C$17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'Equivalent_$Ton'!$F$18:$F$22</c:f>
                <c:numCache>
                  <c:formatCode>General</c:formatCode>
                  <c:ptCount val="5"/>
                  <c:pt idx="0">
                    <c:v>8.6641666666666737</c:v>
                  </c:pt>
                  <c:pt idx="1">
                    <c:v>12.53166666666668</c:v>
                  </c:pt>
                  <c:pt idx="2">
                    <c:v>10.090909090909093</c:v>
                  </c:pt>
                  <c:pt idx="3">
                    <c:v>14</c:v>
                  </c:pt>
                </c:numCache>
              </c:numRef>
            </c:plus>
            <c:minus>
              <c:numRef>
                <c:f>'Equivalent_$Ton'!$E$18:$E$22</c:f>
                <c:numCache>
                  <c:formatCode>General</c:formatCode>
                  <c:ptCount val="5"/>
                  <c:pt idx="0">
                    <c:v>5.8858333333333235</c:v>
                  </c:pt>
                  <c:pt idx="1">
                    <c:v>33.968333333333327</c:v>
                  </c:pt>
                  <c:pt idx="2">
                    <c:v>7.3390909090909062</c:v>
                  </c:pt>
                  <c:pt idx="3">
                    <c:v>23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'Equivalent_$Ton'!$A$18:$A$22</c:f>
              <c:strCache>
                <c:ptCount val="5"/>
                <c:pt idx="0">
                  <c:v>2013 Market Price</c:v>
                </c:pt>
                <c:pt idx="1">
                  <c:v>2014 Market Price</c:v>
                </c:pt>
                <c:pt idx="2">
                  <c:v>2015 Market Price</c:v>
                </c:pt>
                <c:pt idx="3">
                  <c:v>Oil Sands Production Costs</c:v>
                </c:pt>
                <c:pt idx="4">
                  <c:v>08/15 Syncrude Upgraded Costs</c:v>
                </c:pt>
              </c:strCache>
            </c:strRef>
          </c:cat>
          <c:val>
            <c:numRef>
              <c:f>'Equivalent_$Ton'!$C$18:$C$22</c:f>
              <c:numCache>
                <c:formatCode>_("$"* #,##0_);_("$"* \(#,##0\);_("$"* "-"??_);_(@_)</c:formatCode>
                <c:ptCount val="5"/>
                <c:pt idx="0">
                  <c:v>97.90583333333332</c:v>
                </c:pt>
                <c:pt idx="1">
                  <c:v>93.258333333333326</c:v>
                </c:pt>
                <c:pt idx="2">
                  <c:v>49.729090909090907</c:v>
                </c:pt>
                <c:pt idx="3">
                  <c:v>70</c:v>
                </c:pt>
                <c:pt idx="4">
                  <c:v>47.27</c:v>
                </c:pt>
              </c:numCache>
            </c:numRef>
          </c:val>
        </c:ser>
        <c:ser>
          <c:idx val="1"/>
          <c:order val="1"/>
          <c:tx>
            <c:strRef>
              <c:f>'Equivalent_$Ton'!$G$17</c:f>
              <c:strCache>
                <c:ptCount val="1"/>
                <c:pt idx="0">
                  <c:v>Proposed Cost</c:v>
                </c:pt>
              </c:strCache>
            </c:strRef>
          </c:tx>
          <c:spPr>
            <a:pattFill prst="wdUpDiag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'Equivalent_$Ton'!$A$18:$A$22</c:f>
              <c:strCache>
                <c:ptCount val="5"/>
                <c:pt idx="0">
                  <c:v>2013 Market Price</c:v>
                </c:pt>
                <c:pt idx="1">
                  <c:v>2014 Market Price</c:v>
                </c:pt>
                <c:pt idx="2">
                  <c:v>2015 Market Price</c:v>
                </c:pt>
                <c:pt idx="3">
                  <c:v>Oil Sands Production Costs</c:v>
                </c:pt>
                <c:pt idx="4">
                  <c:v>08/15 Syncrude Upgraded Costs</c:v>
                </c:pt>
              </c:strCache>
            </c:strRef>
          </c:cat>
          <c:val>
            <c:numRef>
              <c:f>'Equivalent_$Ton'!$G$18:$G$22</c:f>
              <c:numCache>
                <c:formatCode>_("$"* #,##0_);_("$"* \(#,##0\);_("$"* "-"??_);_(@_)</c:formatCode>
                <c:ptCount val="5"/>
                <c:pt idx="3">
                  <c:v>10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085936"/>
        <c:axId val="531086328"/>
      </c:barChart>
      <c:catAx>
        <c:axId val="531085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086328"/>
        <c:crosses val="autoZero"/>
        <c:auto val="1"/>
        <c:lblAlgn val="ctr"/>
        <c:lblOffset val="100"/>
        <c:noMultiLvlLbl val="0"/>
      </c:catAx>
      <c:valAx>
        <c:axId val="531086328"/>
        <c:scaling>
          <c:orientation val="minMax"/>
          <c:max val="1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U.S. Dollars per Barrel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08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500568678915139"/>
          <c:y val="4.6874588424947905E-2"/>
          <c:w val="0.1883219597550306"/>
          <c:h val="0.221644065325167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66674</xdr:rowOff>
    </xdr:from>
    <xdr:to>
      <xdr:col>11</xdr:col>
      <xdr:colOff>314325</xdr:colOff>
      <xdr:row>35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0</xdr:row>
      <xdr:rowOff>57148</xdr:rowOff>
    </xdr:from>
    <xdr:to>
      <xdr:col>14</xdr:col>
      <xdr:colOff>133350</xdr:colOff>
      <xdr:row>11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209550</xdr:colOff>
      <xdr:row>0</xdr:row>
      <xdr:rowOff>76200</xdr:rowOff>
    </xdr:from>
    <xdr:to>
      <xdr:col>20</xdr:col>
      <xdr:colOff>85725</xdr:colOff>
      <xdr:row>11</xdr:row>
      <xdr:rowOff>123825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428624</xdr:colOff>
      <xdr:row>15</xdr:row>
      <xdr:rowOff>75641</xdr:rowOff>
    </xdr:from>
    <xdr:to>
      <xdr:col>20</xdr:col>
      <xdr:colOff>76200</xdr:colOff>
      <xdr:row>35</xdr:row>
      <xdr:rowOff>47624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9525</xdr:colOff>
      <xdr:row>36</xdr:row>
      <xdr:rowOff>180975</xdr:rowOff>
    </xdr:from>
    <xdr:to>
      <xdr:col>11</xdr:col>
      <xdr:colOff>333375</xdr:colOff>
      <xdr:row>51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338137</xdr:colOff>
      <xdr:row>0</xdr:row>
      <xdr:rowOff>47624</xdr:rowOff>
    </xdr:from>
    <xdr:to>
      <xdr:col>17</xdr:col>
      <xdr:colOff>28575</xdr:colOff>
      <xdr:row>10</xdr:row>
      <xdr:rowOff>19049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385761</xdr:colOff>
      <xdr:row>15</xdr:row>
      <xdr:rowOff>152400</xdr:rowOff>
    </xdr:from>
    <xdr:to>
      <xdr:col>16</xdr:col>
      <xdr:colOff>219074</xdr:colOff>
      <xdr:row>23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200025</xdr:colOff>
          <xdr:row>0</xdr:row>
          <xdr:rowOff>142875</xdr:rowOff>
        </xdr:from>
        <xdr:to>
          <xdr:col>15</xdr:col>
          <xdr:colOff>342900</xdr:colOff>
          <xdr:row>5</xdr:row>
          <xdr:rowOff>104775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en-US" sz="2200" b="1" i="0" u="sng" strike="noStrike" baseline="0">
                  <a:solidFill>
                    <a:srgbClr val="000000"/>
                  </a:solidFill>
                  <a:latin typeface="Calibri"/>
                </a:rPr>
                <a:t>Generate Scenarios</a:t>
              </a:r>
            </a:p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[Click OK to dialogue boxes]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142875</xdr:colOff>
          <xdr:row>0</xdr:row>
          <xdr:rowOff>38100</xdr:rowOff>
        </xdr:from>
        <xdr:to>
          <xdr:col>20</xdr:col>
          <xdr:colOff>400050</xdr:colOff>
          <xdr:row>1</xdr:row>
          <xdr:rowOff>171450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Single Capacity Factor Response Surface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4:X14" totalsRowShown="0" headerRowDxfId="49" dataDxfId="47" headerRowBorderDxfId="48" tableBorderDxfId="46">
  <autoFilter ref="A4:X14"/>
  <sortState ref="A5:X14">
    <sortCondition ref="B4:B14"/>
  </sortState>
  <tableColumns count="24">
    <tableColumn id="1" name="Region" dataDxfId="45"/>
    <tableColumn id="25" name="Transmission Priority" dataDxfId="44"/>
    <tableColumn id="2" name="Representative Destination of Transmission " dataDxfId="43"/>
    <tableColumn id="3" name="Transmission Distance (km)" dataDxfId="42"/>
    <tableColumn id="4" name="Grid Capacity (GW)" dataDxfId="41"/>
    <tableColumn id="5" name="Current Wind Proportion" dataDxfId="40"/>
    <tableColumn id="6" name="Max Wind Proportion" dataDxfId="39"/>
    <tableColumn id="7" name="Additional Wind Capacity (GW)" dataDxfId="38">
      <calculatedColumnFormula>(G5-F5)*E5</calculatedColumnFormula>
    </tableColumn>
    <tableColumn id="8" name=" " dataDxfId="37"/>
    <tableColumn id="9" name="Method of Calculating GHG (choose one)" dataDxfId="36"/>
    <tableColumn id="10" name="Electricity Generation's GHG Emissions (MT CO2 eq/GW)" dataDxfId="35">
      <calculatedColumnFormula>IF(J5="List Source Ratios",SUMPRODUCT(M5:V5,'GHG by Electricity Source'!$B$4:$K$4)/SUM(Table1[[#This Row],[Lignite]:[Waste Heat]]),L5)</calculatedColumnFormula>
    </tableColumn>
    <tableColumn id="11" name="Optional Direct Input (MT CO2 eq/GW)" dataDxfId="34">
      <calculatedColumnFormula>0.6*'GHG by Electricity Source'!$E$4</calculatedColumnFormula>
    </tableColumn>
    <tableColumn id="12" name="Lignite" dataDxfId="33"/>
    <tableColumn id="13" name="Coal" dataDxfId="32"/>
    <tableColumn id="14" name="Oil" dataDxfId="31"/>
    <tableColumn id="15" name="Natural Gas" dataDxfId="30"/>
    <tableColumn id="16" name="Hydro" dataDxfId="29"/>
    <tableColumn id="17" name="Nuclear" dataDxfId="28"/>
    <tableColumn id="18" name="Wind" dataDxfId="27"/>
    <tableColumn id="19" name="Solar PV" dataDxfId="26"/>
    <tableColumn id="20" name="Biomass" dataDxfId="25"/>
    <tableColumn id="21" name="Waste Heat" dataDxfId="24"/>
    <tableColumn id="22" name="Source" dataDxfId="23"/>
    <tableColumn id="23" name="Weblink" dataDxfId="2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Dashboardv1.7.xls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www5.statcan.gc.ca/cansim/a37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05"/>
  <sheetViews>
    <sheetView tabSelected="1" zoomScaleNormal="100" workbookViewId="0">
      <selection activeCell="A2" sqref="A2:C2"/>
    </sheetView>
  </sheetViews>
  <sheetFormatPr defaultRowHeight="15" x14ac:dyDescent="0.25"/>
  <cols>
    <col min="1" max="1" width="35.5703125" customWidth="1"/>
    <col min="2" max="2" width="18.28515625" bestFit="1" customWidth="1"/>
    <col min="3" max="3" width="24.28515625" customWidth="1"/>
    <col min="4" max="4" width="39.7109375" customWidth="1"/>
    <col min="5" max="5" width="23.28515625" customWidth="1"/>
    <col min="6" max="6" width="9.140625" customWidth="1"/>
    <col min="7" max="7" width="8.7109375" customWidth="1"/>
    <col min="8" max="8" width="2.140625" customWidth="1"/>
    <col min="10" max="13" width="9.140625" style="67"/>
    <col min="14" max="14" width="7" style="67" customWidth="1"/>
    <col min="15" max="19" width="9.140625" style="67"/>
    <col min="20" max="20" width="9.140625" style="67" customWidth="1"/>
    <col min="21" max="21" width="7.28515625" style="67" customWidth="1"/>
    <col min="22" max="26" width="9.140625" style="67"/>
  </cols>
  <sheetData>
    <row r="1" spans="1:9" ht="15.75" thickBot="1" x14ac:dyDescent="0.3">
      <c r="A1" s="18" t="s">
        <v>285</v>
      </c>
      <c r="B1" s="18"/>
      <c r="C1" s="18"/>
      <c r="D1" s="18"/>
      <c r="E1" s="18"/>
      <c r="F1" s="18"/>
      <c r="G1" s="18"/>
      <c r="H1" s="18"/>
      <c r="I1" s="18"/>
    </row>
    <row r="2" spans="1:9" ht="19.5" thickBot="1" x14ac:dyDescent="0.35">
      <c r="A2" s="169" t="s">
        <v>40</v>
      </c>
      <c r="B2" s="170"/>
      <c r="C2" s="171"/>
      <c r="D2" s="152" t="s">
        <v>5</v>
      </c>
      <c r="E2" s="179" t="s">
        <v>118</v>
      </c>
      <c r="F2" s="180"/>
      <c r="G2" s="18"/>
      <c r="H2" s="18"/>
      <c r="I2" s="18"/>
    </row>
    <row r="3" spans="1:9" ht="15" customHeight="1" x14ac:dyDescent="0.25">
      <c r="A3" s="3" t="s">
        <v>41</v>
      </c>
      <c r="B3" s="88">
        <f>1900000*356</f>
        <v>676400000</v>
      </c>
      <c r="C3" s="5" t="s">
        <v>4</v>
      </c>
      <c r="D3" s="151" t="s">
        <v>228</v>
      </c>
      <c r="E3" s="181" t="s">
        <v>119</v>
      </c>
      <c r="F3" s="183">
        <v>71100</v>
      </c>
      <c r="G3" s="18"/>
      <c r="H3" s="18"/>
      <c r="I3" s="18"/>
    </row>
    <row r="4" spans="1:9" ht="15.75" thickBot="1" x14ac:dyDescent="0.3">
      <c r="A4" s="6" t="s">
        <v>156</v>
      </c>
      <c r="B4" s="112">
        <v>0.01</v>
      </c>
      <c r="C4" s="8" t="s">
        <v>157</v>
      </c>
      <c r="D4" s="149" t="s">
        <v>197</v>
      </c>
      <c r="E4" s="182"/>
      <c r="F4" s="184"/>
      <c r="G4" s="18"/>
      <c r="H4" s="18"/>
      <c r="I4" s="18"/>
    </row>
    <row r="5" spans="1:9" x14ac:dyDescent="0.25">
      <c r="A5" s="6" t="s">
        <v>42</v>
      </c>
      <c r="B5" s="13">
        <v>172.3</v>
      </c>
      <c r="C5" s="8" t="s">
        <v>44</v>
      </c>
      <c r="D5" s="151" t="s">
        <v>229</v>
      </c>
      <c r="E5" s="45" t="s">
        <v>158</v>
      </c>
      <c r="F5" s="113">
        <f>B11*B13*B12</f>
        <v>71100</v>
      </c>
      <c r="G5" s="18"/>
      <c r="H5" s="18"/>
      <c r="I5" s="18"/>
    </row>
    <row r="6" spans="1:9" ht="15.75" thickBot="1" x14ac:dyDescent="0.3">
      <c r="A6" s="6" t="s">
        <v>43</v>
      </c>
      <c r="B6" s="13">
        <v>556</v>
      </c>
      <c r="C6" s="8" t="s">
        <v>44</v>
      </c>
      <c r="D6" s="151" t="s">
        <v>229</v>
      </c>
      <c r="E6" s="53" t="s">
        <v>159</v>
      </c>
      <c r="F6" s="114">
        <f>SUM(Table1[Additional Wind Capacity (GW)])/B23/B24*1000</f>
        <v>138631.71511209212</v>
      </c>
      <c r="G6" s="18"/>
      <c r="H6" s="18"/>
      <c r="I6" s="18"/>
    </row>
    <row r="7" spans="1:9" x14ac:dyDescent="0.25">
      <c r="A7" s="6" t="s">
        <v>46</v>
      </c>
      <c r="B7" s="14">
        <f>B5-B19</f>
        <v>70.800000000000011</v>
      </c>
      <c r="C7" s="8" t="s">
        <v>44</v>
      </c>
      <c r="D7" s="149" t="s">
        <v>266</v>
      </c>
      <c r="E7" s="18"/>
      <c r="F7" s="18"/>
      <c r="G7" s="18"/>
      <c r="H7" s="18"/>
      <c r="I7" s="18"/>
    </row>
    <row r="8" spans="1:9" x14ac:dyDescent="0.25">
      <c r="A8" s="6" t="s">
        <v>51</v>
      </c>
      <c r="B8" s="13">
        <v>14</v>
      </c>
      <c r="C8" s="8" t="s">
        <v>3</v>
      </c>
      <c r="D8" s="151" t="s">
        <v>230</v>
      </c>
      <c r="E8" s="18"/>
      <c r="F8" s="18"/>
      <c r="G8" s="18"/>
      <c r="H8" s="18"/>
      <c r="I8" s="18"/>
    </row>
    <row r="9" spans="1:9" x14ac:dyDescent="0.25">
      <c r="A9" s="6" t="s">
        <v>53</v>
      </c>
      <c r="B9" s="87" t="s">
        <v>50</v>
      </c>
      <c r="C9" s="8"/>
      <c r="D9" s="149"/>
      <c r="E9" s="18"/>
      <c r="F9" s="18"/>
      <c r="G9" s="18"/>
      <c r="H9" s="18"/>
      <c r="I9" s="18"/>
    </row>
    <row r="10" spans="1:9" x14ac:dyDescent="0.25">
      <c r="A10" s="6" t="s">
        <v>52</v>
      </c>
      <c r="B10" s="13">
        <v>10</v>
      </c>
      <c r="C10" s="8" t="s">
        <v>54</v>
      </c>
      <c r="D10" s="151" t="s">
        <v>231</v>
      </c>
      <c r="E10" s="18"/>
      <c r="F10" s="18"/>
      <c r="G10" s="18"/>
      <c r="H10" s="18"/>
      <c r="I10" s="18"/>
    </row>
    <row r="11" spans="1:9" x14ac:dyDescent="0.25">
      <c r="A11" s="6" t="s">
        <v>160</v>
      </c>
      <c r="B11" s="13">
        <v>142200</v>
      </c>
      <c r="C11" s="8" t="s">
        <v>73</v>
      </c>
      <c r="D11" s="153" t="s">
        <v>232</v>
      </c>
      <c r="E11" s="18"/>
      <c r="F11" s="18"/>
      <c r="G11" s="18"/>
      <c r="H11" s="18"/>
      <c r="I11" s="18"/>
    </row>
    <row r="12" spans="1:9" ht="15.75" thickBot="1" x14ac:dyDescent="0.3">
      <c r="A12" s="6" t="s">
        <v>75</v>
      </c>
      <c r="B12" s="13">
        <v>1</v>
      </c>
      <c r="C12" s="8" t="s">
        <v>76</v>
      </c>
      <c r="D12" s="153" t="s">
        <v>262</v>
      </c>
      <c r="E12" s="18"/>
      <c r="F12" s="18"/>
      <c r="G12" s="18"/>
      <c r="H12" s="18"/>
      <c r="I12" s="18"/>
    </row>
    <row r="13" spans="1:9" ht="19.5" thickBot="1" x14ac:dyDescent="0.35">
      <c r="A13" s="6" t="s">
        <v>77</v>
      </c>
      <c r="B13" s="80">
        <v>0.5</v>
      </c>
      <c r="C13" s="8" t="s">
        <v>161</v>
      </c>
      <c r="D13" s="149" t="s">
        <v>197</v>
      </c>
      <c r="E13" s="174" t="s">
        <v>152</v>
      </c>
      <c r="F13" s="175"/>
      <c r="G13" s="175"/>
      <c r="H13" s="176"/>
      <c r="I13" s="18"/>
    </row>
    <row r="14" spans="1:9" x14ac:dyDescent="0.25">
      <c r="A14" s="6" t="s">
        <v>144</v>
      </c>
      <c r="B14" s="143">
        <f>B5*$B$3/10^9</f>
        <v>116.54372000000002</v>
      </c>
      <c r="C14" s="8" t="s">
        <v>89</v>
      </c>
      <c r="D14" s="149" t="s">
        <v>266</v>
      </c>
      <c r="E14" s="3" t="s">
        <v>106</v>
      </c>
      <c r="F14" s="15">
        <v>13</v>
      </c>
      <c r="G14" s="177" t="s">
        <v>107</v>
      </c>
      <c r="H14" s="178"/>
      <c r="I14" s="18"/>
    </row>
    <row r="15" spans="1:9" ht="15.75" thickBot="1" x14ac:dyDescent="0.3">
      <c r="A15" s="6" t="s">
        <v>145</v>
      </c>
      <c r="B15" s="143">
        <f>B6*$B$3/10^9</f>
        <v>376.07839999999999</v>
      </c>
      <c r="C15" s="8" t="s">
        <v>89</v>
      </c>
      <c r="D15" s="149" t="s">
        <v>266</v>
      </c>
      <c r="E15" s="11" t="s">
        <v>108</v>
      </c>
      <c r="F15" s="17">
        <v>0</v>
      </c>
      <c r="G15" s="172" t="s">
        <v>109</v>
      </c>
      <c r="H15" s="173"/>
      <c r="I15" s="18"/>
    </row>
    <row r="16" spans="1:9" ht="15.75" thickBot="1" x14ac:dyDescent="0.3">
      <c r="A16" s="11" t="s">
        <v>146</v>
      </c>
      <c r="B16" s="144">
        <f>B7*$B$3/10^9</f>
        <v>47.889120000000005</v>
      </c>
      <c r="C16" s="12" t="s">
        <v>89</v>
      </c>
      <c r="D16" s="149" t="s">
        <v>266</v>
      </c>
      <c r="E16" s="18"/>
      <c r="F16" s="18"/>
      <c r="G16" s="18"/>
      <c r="H16" s="18"/>
      <c r="I16" s="18"/>
    </row>
    <row r="17" spans="1:9" ht="15.75" thickBot="1" x14ac:dyDescent="0.3">
      <c r="A17" s="18"/>
      <c r="B17" s="18"/>
      <c r="C17" s="18"/>
      <c r="D17" s="150"/>
      <c r="E17" s="18"/>
      <c r="F17" s="18"/>
      <c r="G17" s="18"/>
      <c r="H17" s="18"/>
      <c r="I17" s="18"/>
    </row>
    <row r="18" spans="1:9" ht="19.5" thickBot="1" x14ac:dyDescent="0.35">
      <c r="A18" s="81" t="s">
        <v>45</v>
      </c>
      <c r="B18" s="82"/>
      <c r="C18" s="83"/>
      <c r="D18" s="150"/>
      <c r="E18" s="18"/>
      <c r="F18" s="18"/>
      <c r="G18" s="18"/>
      <c r="H18" s="18"/>
      <c r="I18" s="18"/>
    </row>
    <row r="19" spans="1:9" x14ac:dyDescent="0.25">
      <c r="A19" s="3" t="s">
        <v>42</v>
      </c>
      <c r="B19" s="15">
        <v>101.5</v>
      </c>
      <c r="C19" s="5" t="s">
        <v>44</v>
      </c>
      <c r="D19" s="151" t="s">
        <v>229</v>
      </c>
      <c r="E19" s="18"/>
      <c r="F19" s="18"/>
      <c r="G19" s="18"/>
      <c r="H19" s="18"/>
      <c r="I19" s="18"/>
    </row>
    <row r="20" spans="1:9" ht="15.75" thickBot="1" x14ac:dyDescent="0.3">
      <c r="A20" s="11" t="s">
        <v>43</v>
      </c>
      <c r="B20" s="17">
        <v>487</v>
      </c>
      <c r="C20" s="12" t="s">
        <v>44</v>
      </c>
      <c r="D20" s="151" t="s">
        <v>229</v>
      </c>
      <c r="E20" s="18"/>
      <c r="F20" s="18"/>
      <c r="G20" s="18"/>
      <c r="H20" s="18"/>
      <c r="I20" s="18"/>
    </row>
    <row r="21" spans="1:9" ht="15.75" thickBot="1" x14ac:dyDescent="0.3">
      <c r="A21" s="18"/>
      <c r="B21" s="18"/>
      <c r="C21" s="18"/>
      <c r="D21" s="150"/>
      <c r="E21" s="18"/>
      <c r="F21" s="18"/>
      <c r="G21" s="18"/>
      <c r="H21" s="18"/>
      <c r="I21" s="18"/>
    </row>
    <row r="22" spans="1:9" ht="19.5" thickBot="1" x14ac:dyDescent="0.35">
      <c r="A22" s="81" t="s">
        <v>57</v>
      </c>
      <c r="B22" s="82"/>
      <c r="C22" s="83"/>
      <c r="D22" s="150"/>
      <c r="E22" s="18"/>
      <c r="F22" s="18"/>
      <c r="G22" s="18"/>
      <c r="H22" s="18"/>
      <c r="I22" s="18"/>
    </row>
    <row r="23" spans="1:9" x14ac:dyDescent="0.25">
      <c r="A23" s="3" t="s">
        <v>67</v>
      </c>
      <c r="B23" s="15">
        <v>3.45</v>
      </c>
      <c r="C23" s="5" t="s">
        <v>74</v>
      </c>
      <c r="D23" s="153" t="s">
        <v>233</v>
      </c>
      <c r="E23" s="18"/>
      <c r="F23" s="18"/>
      <c r="G23" s="18"/>
      <c r="H23" s="18"/>
      <c r="I23" s="18"/>
    </row>
    <row r="24" spans="1:9" x14ac:dyDescent="0.25">
      <c r="A24" s="6" t="s">
        <v>68</v>
      </c>
      <c r="B24" s="165">
        <v>0.17</v>
      </c>
      <c r="C24" s="8"/>
      <c r="D24" s="153" t="s">
        <v>234</v>
      </c>
      <c r="E24" s="18"/>
      <c r="F24" s="18"/>
      <c r="G24" s="18"/>
      <c r="H24" s="18"/>
      <c r="I24" s="18"/>
    </row>
    <row r="25" spans="1:9" x14ac:dyDescent="0.25">
      <c r="A25" s="6" t="s">
        <v>58</v>
      </c>
      <c r="B25" s="13">
        <v>1.71</v>
      </c>
      <c r="C25" s="8" t="s">
        <v>81</v>
      </c>
      <c r="D25" s="153" t="s">
        <v>235</v>
      </c>
      <c r="E25" s="18"/>
      <c r="F25" s="18"/>
      <c r="G25" s="18"/>
      <c r="H25" s="18"/>
      <c r="I25" s="18"/>
    </row>
    <row r="26" spans="1:9" x14ac:dyDescent="0.25">
      <c r="A26" s="6" t="s">
        <v>195</v>
      </c>
      <c r="B26" s="13">
        <v>3.1E-2</v>
      </c>
      <c r="C26" s="8" t="s">
        <v>194</v>
      </c>
      <c r="D26" s="153" t="s">
        <v>236</v>
      </c>
      <c r="E26" s="18"/>
      <c r="F26" s="18"/>
      <c r="G26" s="18"/>
      <c r="H26" s="18"/>
      <c r="I26" s="18"/>
    </row>
    <row r="27" spans="1:9" ht="16.5" customHeight="1" x14ac:dyDescent="0.25">
      <c r="A27" s="6" t="s">
        <v>59</v>
      </c>
      <c r="B27" s="13">
        <v>10.4</v>
      </c>
      <c r="C27" s="8" t="s">
        <v>60</v>
      </c>
      <c r="D27" s="151" t="s">
        <v>237</v>
      </c>
      <c r="E27" s="18"/>
      <c r="F27" s="18"/>
      <c r="G27" s="18"/>
      <c r="H27" s="18"/>
      <c r="I27" s="18"/>
    </row>
    <row r="28" spans="1:9" ht="0.75" customHeight="1" x14ac:dyDescent="0.25">
      <c r="A28" s="6"/>
      <c r="B28" s="142">
        <f>B27*365*24/10^6</f>
        <v>9.1104000000000004E-2</v>
      </c>
      <c r="C28" s="8" t="s">
        <v>61</v>
      </c>
      <c r="D28" s="150"/>
      <c r="E28" s="18"/>
      <c r="F28" s="18"/>
      <c r="G28" s="18"/>
      <c r="H28" s="18"/>
      <c r="I28" s="18"/>
    </row>
    <row r="29" spans="1:9" x14ac:dyDescent="0.25">
      <c r="A29" s="6" t="s">
        <v>65</v>
      </c>
      <c r="B29" s="13">
        <v>20</v>
      </c>
      <c r="C29" s="8" t="s">
        <v>66</v>
      </c>
      <c r="D29" s="153" t="s">
        <v>238</v>
      </c>
      <c r="E29" s="18"/>
      <c r="F29" s="18"/>
      <c r="G29" s="18"/>
      <c r="H29" s="18"/>
      <c r="I29" s="18"/>
    </row>
    <row r="30" spans="1:9" ht="15.75" thickBot="1" x14ac:dyDescent="0.3">
      <c r="A30" s="11" t="s">
        <v>116</v>
      </c>
      <c r="B30" s="16">
        <v>0.2</v>
      </c>
      <c r="C30" s="12"/>
      <c r="D30" s="153" t="s">
        <v>239</v>
      </c>
      <c r="E30" s="18"/>
      <c r="F30" s="18"/>
      <c r="G30" s="18"/>
      <c r="H30" s="18"/>
      <c r="I30" s="18"/>
    </row>
    <row r="31" spans="1:9" ht="15.75" thickBot="1" x14ac:dyDescent="0.3">
      <c r="A31" s="18"/>
      <c r="B31" s="18"/>
      <c r="C31" s="18"/>
      <c r="D31" s="150"/>
      <c r="E31" s="18"/>
      <c r="F31" s="18"/>
      <c r="G31" s="18"/>
      <c r="H31" s="18"/>
      <c r="I31" s="18"/>
    </row>
    <row r="32" spans="1:9" ht="19.5" thickBot="1" x14ac:dyDescent="0.35">
      <c r="A32" s="81" t="s">
        <v>62</v>
      </c>
      <c r="B32" s="82"/>
      <c r="C32" s="83"/>
      <c r="D32" s="150"/>
      <c r="E32" s="18"/>
      <c r="F32" s="18"/>
      <c r="G32" s="18"/>
      <c r="H32" s="18"/>
      <c r="I32" s="18"/>
    </row>
    <row r="33" spans="1:26" ht="17.25" customHeight="1" x14ac:dyDescent="0.25">
      <c r="A33" s="3" t="s">
        <v>63</v>
      </c>
      <c r="B33" s="15">
        <v>372</v>
      </c>
      <c r="C33" s="5" t="s">
        <v>70</v>
      </c>
      <c r="D33" s="151" t="s">
        <v>240</v>
      </c>
      <c r="E33" s="18"/>
      <c r="F33" s="18"/>
      <c r="G33" s="18"/>
      <c r="H33" s="18"/>
      <c r="I33" s="18"/>
    </row>
    <row r="34" spans="1:26" ht="18" customHeight="1" x14ac:dyDescent="0.25">
      <c r="A34" s="6" t="s">
        <v>64</v>
      </c>
      <c r="B34" s="89">
        <v>40</v>
      </c>
      <c r="C34" s="8" t="s">
        <v>71</v>
      </c>
      <c r="D34" s="151" t="s">
        <v>240</v>
      </c>
      <c r="E34" s="18"/>
      <c r="F34" s="18"/>
      <c r="G34" s="18"/>
      <c r="H34" s="18"/>
      <c r="I34" s="18"/>
    </row>
    <row r="35" spans="1:26" ht="16.5" customHeight="1" thickBot="1" x14ac:dyDescent="0.3">
      <c r="A35" s="11" t="s">
        <v>69</v>
      </c>
      <c r="B35" s="17">
        <v>1</v>
      </c>
      <c r="C35" s="12" t="s">
        <v>72</v>
      </c>
      <c r="D35" s="151" t="s">
        <v>265</v>
      </c>
      <c r="E35" s="18"/>
      <c r="F35" s="18"/>
      <c r="G35" s="18"/>
      <c r="H35" s="18"/>
      <c r="I35" s="18"/>
    </row>
    <row r="36" spans="1:26" s="18" customFormat="1" ht="36.75" customHeight="1" thickBot="1" x14ac:dyDescent="0.3">
      <c r="A36" s="67"/>
      <c r="B36" s="67"/>
      <c r="C36" s="67"/>
      <c r="D36" s="150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s="67" customFormat="1" ht="19.5" thickBot="1" x14ac:dyDescent="0.35">
      <c r="A37" s="125" t="s">
        <v>171</v>
      </c>
      <c r="B37" s="126"/>
      <c r="C37" s="127"/>
      <c r="D37" s="150"/>
    </row>
    <row r="38" spans="1:26" s="67" customFormat="1" x14ac:dyDescent="0.25">
      <c r="A38" s="3" t="s">
        <v>227</v>
      </c>
      <c r="B38" s="121">
        <v>7.0000000000000007E-2</v>
      </c>
      <c r="C38" s="5" t="s">
        <v>175</v>
      </c>
      <c r="D38" s="153" t="s">
        <v>263</v>
      </c>
    </row>
    <row r="39" spans="1:26" s="67" customFormat="1" x14ac:dyDescent="0.25">
      <c r="A39" s="6" t="s">
        <v>181</v>
      </c>
      <c r="B39" s="122">
        <v>500</v>
      </c>
      <c r="C39" s="8" t="s">
        <v>180</v>
      </c>
      <c r="D39" s="149" t="s">
        <v>243</v>
      </c>
    </row>
    <row r="40" spans="1:26" s="67" customFormat="1" x14ac:dyDescent="0.25">
      <c r="A40" s="6" t="s">
        <v>205</v>
      </c>
      <c r="B40" s="122">
        <v>12</v>
      </c>
      <c r="C40" s="8" t="s">
        <v>206</v>
      </c>
      <c r="D40" s="153" t="s">
        <v>241</v>
      </c>
    </row>
    <row r="41" spans="1:26" s="67" customFormat="1" x14ac:dyDescent="0.25">
      <c r="A41" s="6" t="s">
        <v>207</v>
      </c>
      <c r="B41" s="122">
        <v>38</v>
      </c>
      <c r="C41" s="147" t="s">
        <v>206</v>
      </c>
      <c r="D41" s="153" t="s">
        <v>242</v>
      </c>
    </row>
    <row r="42" spans="1:26" s="67" customFormat="1" x14ac:dyDescent="0.25">
      <c r="A42" s="6" t="s">
        <v>208</v>
      </c>
      <c r="B42" s="122">
        <v>50</v>
      </c>
      <c r="C42" s="147" t="s">
        <v>206</v>
      </c>
      <c r="D42" s="153" t="s">
        <v>242</v>
      </c>
    </row>
    <row r="43" spans="1:26" s="67" customFormat="1" x14ac:dyDescent="0.25">
      <c r="A43" s="6" t="s">
        <v>165</v>
      </c>
      <c r="B43" s="133">
        <f ca="1">-'Cumulative 40yr Model'!D7-NPV(B38,'Cumulative 40yr Model'!E7:AR7)-NPV(B38,'Cumulative 40yr Model'!E25:AR25)*10^9</f>
        <v>-142095011476.20627</v>
      </c>
      <c r="C43" s="8" t="s">
        <v>162</v>
      </c>
      <c r="D43" s="149" t="s">
        <v>266</v>
      </c>
    </row>
    <row r="44" spans="1:26" s="67" customFormat="1" x14ac:dyDescent="0.25">
      <c r="A44" s="6" t="s">
        <v>163</v>
      </c>
      <c r="B44" s="134">
        <f ca="1">SUM('Cumulative 40yr Model'!D26:AR26)</f>
        <v>2353.8195116259312</v>
      </c>
      <c r="C44" s="8" t="s">
        <v>173</v>
      </c>
      <c r="D44" s="149" t="s">
        <v>266</v>
      </c>
    </row>
    <row r="45" spans="1:26" s="67" customFormat="1" x14ac:dyDescent="0.25">
      <c r="A45" s="6" t="s">
        <v>164</v>
      </c>
      <c r="B45" s="135">
        <f ca="1">-B43/B44/10^6</f>
        <v>60.367845017162047</v>
      </c>
      <c r="C45" s="8" t="s">
        <v>174</v>
      </c>
      <c r="D45" s="149" t="s">
        <v>266</v>
      </c>
    </row>
    <row r="46" spans="1:26" s="67" customFormat="1" x14ac:dyDescent="0.25">
      <c r="A46" s="6" t="s">
        <v>166</v>
      </c>
      <c r="B46" s="133">
        <f ca="1">SUM(B48:B51)</f>
        <v>-142095011476.20621</v>
      </c>
      <c r="C46" s="8" t="s">
        <v>162</v>
      </c>
      <c r="D46" s="149" t="s">
        <v>266</v>
      </c>
    </row>
    <row r="47" spans="1:26" s="67" customFormat="1" x14ac:dyDescent="0.25">
      <c r="A47" s="6" t="s">
        <v>176</v>
      </c>
      <c r="B47" s="133">
        <f ca="1">-B46/B44/10^6</f>
        <v>60.367845017162018</v>
      </c>
      <c r="C47" s="8" t="s">
        <v>174</v>
      </c>
      <c r="D47" s="149" t="s">
        <v>266</v>
      </c>
    </row>
    <row r="48" spans="1:26" s="67" customFormat="1" x14ac:dyDescent="0.25">
      <c r="A48" s="6" t="s">
        <v>177</v>
      </c>
      <c r="B48" s="133">
        <f ca="1">-10^9*(SUM('Cumulative 40yr Model'!D21:D22)+NPV('Dashboard and Input Variables'!$B$38,'Cumulative 40yr Model'!E21:AR21)+NPV('Dashboard and Input Variables'!$B$38,'Cumulative 40yr Model'!E22:AR22))</f>
        <v>-113369970217.10883</v>
      </c>
      <c r="C48" s="8" t="s">
        <v>162</v>
      </c>
      <c r="D48" s="149" t="s">
        <v>266</v>
      </c>
      <c r="U48" s="138">
        <f ca="1">B48/$B$46*$B$47</f>
        <v>48.164257988836646</v>
      </c>
    </row>
    <row r="49" spans="1:23" s="67" customFormat="1" x14ac:dyDescent="0.25">
      <c r="A49" s="6" t="s">
        <v>178</v>
      </c>
      <c r="B49" s="133">
        <f ca="1">-NPV('Dashboard and Input Variables'!B38,'Cumulative 40yr Model'!E12:AR12)+'Cumulative 40yr Model'!D12</f>
        <v>-20294934476.346413</v>
      </c>
      <c r="C49" s="8" t="s">
        <v>162</v>
      </c>
      <c r="D49" s="149" t="s">
        <v>266</v>
      </c>
      <c r="U49" s="138">
        <f ca="1">B49/$B$46*$B$47</f>
        <v>8.6221285770239131</v>
      </c>
      <c r="V49" s="168">
        <f ca="1">U49+U48</f>
        <v>56.78638656586056</v>
      </c>
      <c r="W49" s="67">
        <f ca="1">V49/SUM(U48:U51)</f>
        <v>0.94067274638868936</v>
      </c>
    </row>
    <row r="50" spans="1:23" s="67" customFormat="1" x14ac:dyDescent="0.25">
      <c r="A50" s="6" t="s">
        <v>214</v>
      </c>
      <c r="B50" s="133">
        <f ca="1">-NPV($B$38,'Cumulative 40yr Model'!E17:AR17)+'Cumulative 40yr Model'!D17</f>
        <v>-1519357118.1112127</v>
      </c>
      <c r="C50" s="8" t="s">
        <v>162</v>
      </c>
      <c r="D50" s="149" t="s">
        <v>266</v>
      </c>
      <c r="U50" s="138">
        <f ca="1">B50/$B$46*$B$47</f>
        <v>0.64548582021979128</v>
      </c>
    </row>
    <row r="51" spans="1:23" s="67" customFormat="1" ht="15.75" thickBot="1" x14ac:dyDescent="0.3">
      <c r="A51" s="11" t="s">
        <v>213</v>
      </c>
      <c r="B51" s="136">
        <f ca="1">-NPV($B$38,'Cumulative 40yr Model'!E18:AR18)+'Cumulative 40yr Model'!D18</f>
        <v>-6910749664.6397657</v>
      </c>
      <c r="C51" s="12" t="s">
        <v>162</v>
      </c>
      <c r="D51" s="149" t="s">
        <v>266</v>
      </c>
      <c r="U51" s="138">
        <f ca="1">B51/$B$46*$B$47</f>
        <v>2.9359726310816736</v>
      </c>
    </row>
    <row r="52" spans="1:23" s="67" customFormat="1" ht="15.75" thickBot="1" x14ac:dyDescent="0.3">
      <c r="D52" s="150"/>
    </row>
    <row r="53" spans="1:23" s="67" customFormat="1" ht="19.5" thickBot="1" x14ac:dyDescent="0.35">
      <c r="A53" s="125" t="s">
        <v>184</v>
      </c>
      <c r="B53" s="126"/>
      <c r="C53" s="127"/>
      <c r="D53" s="150"/>
    </row>
    <row r="54" spans="1:23" s="67" customFormat="1" x14ac:dyDescent="0.25">
      <c r="A54" s="3" t="s">
        <v>185</v>
      </c>
      <c r="B54" s="128">
        <v>12</v>
      </c>
      <c r="C54" s="5" t="s">
        <v>186</v>
      </c>
      <c r="D54" s="149" t="s">
        <v>198</v>
      </c>
    </row>
    <row r="55" spans="1:23" s="67" customFormat="1" x14ac:dyDescent="0.25">
      <c r="A55" s="6" t="s">
        <v>189</v>
      </c>
      <c r="B55" s="129">
        <v>0.06</v>
      </c>
      <c r="C55" s="8" t="s">
        <v>109</v>
      </c>
      <c r="D55" s="153" t="s">
        <v>235</v>
      </c>
    </row>
    <row r="56" spans="1:23" s="67" customFormat="1" ht="15.75" thickBot="1" x14ac:dyDescent="0.3">
      <c r="A56" s="11" t="s">
        <v>187</v>
      </c>
      <c r="B56" s="137">
        <f ca="1">IF(AND(MAX('Cumulative 40yr Model'!D75:AR75)&gt;0,MIN('Cumulative 40yr Model'!D75:AR75)&lt;0),IRR('Cumulative 40yr Model'!D75:AR75,0.02),"IRR is NA")</f>
        <v>0.19758507489267463</v>
      </c>
      <c r="C56" s="12" t="s">
        <v>188</v>
      </c>
      <c r="D56" s="149" t="s">
        <v>266</v>
      </c>
    </row>
    <row r="57" spans="1:23" s="67" customFormat="1" x14ac:dyDescent="0.25"/>
    <row r="58" spans="1:23" s="67" customFormat="1" x14ac:dyDescent="0.25"/>
    <row r="59" spans="1:23" s="67" customFormat="1" x14ac:dyDescent="0.25"/>
    <row r="60" spans="1:23" s="67" customFormat="1" x14ac:dyDescent="0.25"/>
    <row r="61" spans="1:23" s="67" customFormat="1" x14ac:dyDescent="0.25"/>
    <row r="62" spans="1:23" s="67" customFormat="1" x14ac:dyDescent="0.25"/>
    <row r="63" spans="1:23" s="67" customFormat="1" x14ac:dyDescent="0.25"/>
    <row r="64" spans="1:23" s="67" customFormat="1" x14ac:dyDescent="0.25"/>
    <row r="65" s="67" customFormat="1" x14ac:dyDescent="0.25"/>
    <row r="66" s="67" customFormat="1" x14ac:dyDescent="0.25"/>
    <row r="67" s="67" customFormat="1" x14ac:dyDescent="0.25"/>
    <row r="68" s="67" customFormat="1" x14ac:dyDescent="0.25"/>
    <row r="69" s="67" customFormat="1" x14ac:dyDescent="0.25"/>
    <row r="70" s="67" customFormat="1" x14ac:dyDescent="0.25"/>
    <row r="71" s="67" customFormat="1" x14ac:dyDescent="0.25"/>
    <row r="72" s="67" customFormat="1" x14ac:dyDescent="0.25"/>
    <row r="73" s="67" customFormat="1" x14ac:dyDescent="0.25"/>
    <row r="74" s="67" customFormat="1" x14ac:dyDescent="0.25"/>
    <row r="75" s="67" customFormat="1" x14ac:dyDescent="0.25"/>
    <row r="76" s="67" customFormat="1" x14ac:dyDescent="0.25"/>
    <row r="77" s="67" customFormat="1" x14ac:dyDescent="0.25"/>
    <row r="78" s="67" customFormat="1" x14ac:dyDescent="0.25"/>
    <row r="79" s="67" customFormat="1" x14ac:dyDescent="0.25"/>
    <row r="80" s="67" customFormat="1" x14ac:dyDescent="0.25"/>
    <row r="81" s="67" customFormat="1" x14ac:dyDescent="0.25"/>
    <row r="82" s="67" customFormat="1" x14ac:dyDescent="0.25"/>
    <row r="83" s="67" customFormat="1" x14ac:dyDescent="0.25"/>
    <row r="84" s="67" customFormat="1" x14ac:dyDescent="0.25"/>
    <row r="85" s="67" customFormat="1" x14ac:dyDescent="0.25"/>
    <row r="86" s="67" customFormat="1" x14ac:dyDescent="0.25"/>
    <row r="87" s="67" customFormat="1" x14ac:dyDescent="0.25"/>
    <row r="88" s="67" customFormat="1" x14ac:dyDescent="0.25"/>
    <row r="89" s="67" customFormat="1" x14ac:dyDescent="0.25"/>
    <row r="90" s="67" customFormat="1" x14ac:dyDescent="0.25"/>
    <row r="91" s="67" customFormat="1" x14ac:dyDescent="0.25"/>
    <row r="92" s="67" customFormat="1" x14ac:dyDescent="0.25"/>
    <row r="93" s="67" customFormat="1" x14ac:dyDescent="0.25"/>
    <row r="94" s="67" customFormat="1" x14ac:dyDescent="0.25"/>
    <row r="95" s="67" customFormat="1" x14ac:dyDescent="0.25"/>
    <row r="96" s="67" customFormat="1" x14ac:dyDescent="0.25"/>
    <row r="97" s="67" customFormat="1" x14ac:dyDescent="0.25"/>
    <row r="98" s="67" customFormat="1" x14ac:dyDescent="0.25"/>
    <row r="99" s="67" customFormat="1" x14ac:dyDescent="0.25"/>
    <row r="100" s="67" customFormat="1" x14ac:dyDescent="0.25"/>
    <row r="101" s="67" customFormat="1" x14ac:dyDescent="0.25"/>
    <row r="102" s="67" customFormat="1" x14ac:dyDescent="0.25"/>
    <row r="103" s="67" customFormat="1" x14ac:dyDescent="0.25"/>
    <row r="104" s="67" customFormat="1" x14ac:dyDescent="0.25"/>
    <row r="105" s="67" customFormat="1" x14ac:dyDescent="0.25"/>
    <row r="106" s="67" customFormat="1" x14ac:dyDescent="0.25"/>
    <row r="107" s="67" customFormat="1" x14ac:dyDescent="0.25"/>
    <row r="108" s="67" customFormat="1" x14ac:dyDescent="0.25"/>
    <row r="109" s="67" customFormat="1" x14ac:dyDescent="0.25"/>
    <row r="110" s="67" customFormat="1" x14ac:dyDescent="0.25"/>
    <row r="111" s="67" customFormat="1" x14ac:dyDescent="0.25"/>
    <row r="112" s="67" customFormat="1" x14ac:dyDescent="0.25"/>
    <row r="113" s="67" customFormat="1" x14ac:dyDescent="0.25"/>
    <row r="114" s="67" customFormat="1" x14ac:dyDescent="0.25"/>
    <row r="115" s="67" customFormat="1" x14ac:dyDescent="0.25"/>
    <row r="116" s="67" customFormat="1" x14ac:dyDescent="0.25"/>
    <row r="117" s="67" customFormat="1" x14ac:dyDescent="0.25"/>
    <row r="118" s="67" customFormat="1" x14ac:dyDescent="0.25"/>
    <row r="119" s="67" customFormat="1" x14ac:dyDescent="0.25"/>
    <row r="120" s="67" customFormat="1" x14ac:dyDescent="0.25"/>
    <row r="121" s="67" customFormat="1" x14ac:dyDescent="0.25"/>
    <row r="122" s="67" customFormat="1" x14ac:dyDescent="0.25"/>
    <row r="123" s="67" customFormat="1" x14ac:dyDescent="0.25"/>
    <row r="124" s="67" customFormat="1" x14ac:dyDescent="0.25"/>
    <row r="125" s="67" customFormat="1" x14ac:dyDescent="0.25"/>
    <row r="126" s="67" customFormat="1" x14ac:dyDescent="0.25"/>
    <row r="127" s="67" customFormat="1" x14ac:dyDescent="0.25"/>
    <row r="128" s="67" customFormat="1" x14ac:dyDescent="0.25"/>
    <row r="129" s="67" customFormat="1" x14ac:dyDescent="0.25"/>
    <row r="130" s="67" customFormat="1" x14ac:dyDescent="0.25"/>
    <row r="131" s="67" customFormat="1" x14ac:dyDescent="0.25"/>
    <row r="132" s="67" customFormat="1" x14ac:dyDescent="0.25"/>
    <row r="133" s="67" customFormat="1" x14ac:dyDescent="0.25"/>
    <row r="134" s="67" customFormat="1" x14ac:dyDescent="0.25"/>
    <row r="135" s="67" customFormat="1" x14ac:dyDescent="0.25"/>
    <row r="136" s="67" customFormat="1" x14ac:dyDescent="0.25"/>
    <row r="137" s="67" customFormat="1" x14ac:dyDescent="0.25"/>
    <row r="138" s="67" customFormat="1" x14ac:dyDescent="0.25"/>
    <row r="139" s="67" customFormat="1" x14ac:dyDescent="0.25"/>
    <row r="140" s="67" customFormat="1" x14ac:dyDescent="0.25"/>
    <row r="141" s="67" customFormat="1" x14ac:dyDescent="0.25"/>
    <row r="142" s="67" customFormat="1" x14ac:dyDescent="0.25"/>
    <row r="143" s="67" customFormat="1" x14ac:dyDescent="0.25"/>
    <row r="144" s="67" customFormat="1" x14ac:dyDescent="0.25"/>
    <row r="145" s="67" customFormat="1" x14ac:dyDescent="0.25"/>
    <row r="146" s="67" customFormat="1" x14ac:dyDescent="0.25"/>
    <row r="147" s="67" customFormat="1" x14ac:dyDescent="0.25"/>
    <row r="148" s="67" customFormat="1" x14ac:dyDescent="0.25"/>
    <row r="149" s="67" customFormat="1" x14ac:dyDescent="0.25"/>
    <row r="150" s="67" customFormat="1" x14ac:dyDescent="0.25"/>
    <row r="151" s="67" customFormat="1" x14ac:dyDescent="0.25"/>
    <row r="152" s="67" customFormat="1" x14ac:dyDescent="0.25"/>
    <row r="153" s="67" customFormat="1" x14ac:dyDescent="0.25"/>
    <row r="154" s="67" customFormat="1" x14ac:dyDescent="0.25"/>
    <row r="155" s="67" customFormat="1" x14ac:dyDescent="0.25"/>
    <row r="156" s="67" customFormat="1" x14ac:dyDescent="0.25"/>
    <row r="157" s="67" customFormat="1" x14ac:dyDescent="0.25"/>
    <row r="158" s="67" customFormat="1" x14ac:dyDescent="0.25"/>
    <row r="159" s="67" customFormat="1" x14ac:dyDescent="0.25"/>
    <row r="160" s="67" customFormat="1" x14ac:dyDescent="0.25"/>
    <row r="161" s="67" customFormat="1" x14ac:dyDescent="0.25"/>
    <row r="162" s="67" customFormat="1" x14ac:dyDescent="0.25"/>
    <row r="163" s="67" customFormat="1" x14ac:dyDescent="0.25"/>
    <row r="164" s="67" customFormat="1" x14ac:dyDescent="0.25"/>
    <row r="165" s="67" customFormat="1" x14ac:dyDescent="0.25"/>
    <row r="166" s="67" customFormat="1" x14ac:dyDescent="0.25"/>
    <row r="167" s="67" customFormat="1" x14ac:dyDescent="0.25"/>
    <row r="168" s="67" customFormat="1" x14ac:dyDescent="0.25"/>
    <row r="169" s="67" customFormat="1" x14ac:dyDescent="0.25"/>
    <row r="170" s="67" customFormat="1" x14ac:dyDescent="0.25"/>
    <row r="171" s="67" customFormat="1" x14ac:dyDescent="0.25"/>
    <row r="172" s="67" customFormat="1" x14ac:dyDescent="0.25"/>
    <row r="173" s="67" customFormat="1" x14ac:dyDescent="0.25"/>
    <row r="174" s="67" customFormat="1" x14ac:dyDescent="0.25"/>
    <row r="175" s="67" customFormat="1" x14ac:dyDescent="0.25"/>
    <row r="176" s="67" customFormat="1" x14ac:dyDescent="0.25"/>
    <row r="177" s="67" customFormat="1" x14ac:dyDescent="0.25"/>
    <row r="178" s="67" customFormat="1" x14ac:dyDescent="0.25"/>
    <row r="179" s="67" customFormat="1" x14ac:dyDescent="0.25"/>
    <row r="180" s="67" customFormat="1" x14ac:dyDescent="0.25"/>
    <row r="181" s="67" customFormat="1" x14ac:dyDescent="0.25"/>
    <row r="182" s="67" customFormat="1" x14ac:dyDescent="0.25"/>
    <row r="183" s="67" customFormat="1" x14ac:dyDescent="0.25"/>
    <row r="184" s="67" customFormat="1" x14ac:dyDescent="0.25"/>
    <row r="185" s="67" customFormat="1" x14ac:dyDescent="0.25"/>
    <row r="186" s="67" customFormat="1" x14ac:dyDescent="0.25"/>
    <row r="187" s="67" customFormat="1" x14ac:dyDescent="0.25"/>
    <row r="188" s="67" customFormat="1" x14ac:dyDescent="0.25"/>
    <row r="189" s="67" customFormat="1" x14ac:dyDescent="0.25"/>
    <row r="190" s="67" customFormat="1" x14ac:dyDescent="0.25"/>
    <row r="191" s="67" customFormat="1" x14ac:dyDescent="0.25"/>
    <row r="192" s="67" customFormat="1" x14ac:dyDescent="0.25"/>
    <row r="193" spans="10:26" s="67" customFormat="1" x14ac:dyDescent="0.25"/>
    <row r="194" spans="10:26" s="67" customFormat="1" x14ac:dyDescent="0.25"/>
    <row r="195" spans="10:26" s="67" customFormat="1" x14ac:dyDescent="0.25"/>
    <row r="196" spans="10:26" s="67" customFormat="1" x14ac:dyDescent="0.25"/>
    <row r="197" spans="10:26" s="67" customFormat="1" x14ac:dyDescent="0.25"/>
    <row r="198" spans="10:26" s="67" customFormat="1" x14ac:dyDescent="0.25"/>
    <row r="199" spans="10:26" s="67" customFormat="1" x14ac:dyDescent="0.25"/>
    <row r="200" spans="10:26" s="67" customFormat="1" x14ac:dyDescent="0.25"/>
    <row r="201" spans="10:26" s="67" customFormat="1" x14ac:dyDescent="0.25"/>
    <row r="202" spans="10:26" s="67" customFormat="1" x14ac:dyDescent="0.25"/>
    <row r="203" spans="10:26" s="67" customFormat="1" x14ac:dyDescent="0.25"/>
    <row r="204" spans="10:26" s="67" customFormat="1" x14ac:dyDescent="0.25"/>
    <row r="205" spans="10:26" s="18" customFormat="1" x14ac:dyDescent="0.25"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</sheetData>
  <mergeCells count="7">
    <mergeCell ref="A2:C2"/>
    <mergeCell ref="G15:H15"/>
    <mergeCell ref="E13:H13"/>
    <mergeCell ref="G14:H14"/>
    <mergeCell ref="E2:F2"/>
    <mergeCell ref="E3:E4"/>
    <mergeCell ref="F3:F4"/>
  </mergeCells>
  <conditionalFormatting sqref="B10">
    <cfRule type="expression" dxfId="55" priority="3">
      <formula>$B$9="No"</formula>
    </cfRule>
  </conditionalFormatting>
  <dataValidations disablePrompts="1" xWindow="729" yWindow="300" count="2">
    <dataValidation allowBlank="1" showInputMessage="1" showErrorMessage="1" promptTitle="Instructions" prompt="This cell is only used when 'Electric Heat Extraction' is set to 'Yes'. Otherwise it is grey and ignored." sqref="B10"/>
    <dataValidation type="custom" allowBlank="1" showInputMessage="1" showErrorMessage="1" errorTitle="Too Many Turbines" error="This number of turbines would exceed the allowable denisty specified in Oil Sands Information_x000a_" promptTitle="Instructions" prompt="If this cell turns red, exisitng grids cannot handle this amount of wind power. _x000a_" sqref="F3:F4">
      <formula1>F3&lt;=B11*B12*B13</formula1>
    </dataValidation>
  </dataValidations>
  <hyperlinks>
    <hyperlink ref="D35" r:id="rId1" location="Delucchi" display="Dashboardv1.7.xlsx - Delucchi"/>
    <hyperlink ref="D3" location="GOA_2013" display="(Government of Alberta 2013)"/>
    <hyperlink ref="D5" location="IHS_CERA_2015" display="(IHS CERA 2012)"/>
    <hyperlink ref="D6" location="IHS_CERA_2015" display="(IHS CERA 2012)"/>
    <hyperlink ref="D19" location="IHS_CERA_2015" display="(IHS CERA 2012)"/>
    <hyperlink ref="D20" location="IHS_CERA_2015" display="(IHS CERA 2012)"/>
    <hyperlink ref="D8" location="AESO2008" display="(AESO 2008)"/>
    <hyperlink ref="D10" location="AESO2014" display="(AESO 2014)"/>
    <hyperlink ref="D11" location="GOA_2015" display="(Government of Alberta 2015)"/>
    <hyperlink ref="D12" location="Patel2005" display="(Patel 2005)"/>
    <hyperlink ref="D23" location="Vestas2014" display="(Vestas 2014)"/>
    <hyperlink ref="D24" location="RETScreen" display="(Natural Resources Canada 2013)"/>
    <hyperlink ref="D25" location="Wiser2015" display="(Wiser and Bolinger 2015)"/>
    <hyperlink ref="D55" location="Wiser2015" display="(Wiser and Bolinger 2015)"/>
    <hyperlink ref="D26" location="EIA_2010" display="(EIA 2010)"/>
    <hyperlink ref="D27" location="Radaal2011" display="(Raadal et al. 2011)"/>
    <hyperlink ref="D29" location="Nugent2014" display="(Nugent and Sovacool 2014)"/>
    <hyperlink ref="D30" location="Georgilakis2008" display="(Georgilakis 2008)"/>
    <hyperlink ref="D33" location="Delucchi2011" display="(Delucchi and Jacobson 2011)"/>
    <hyperlink ref="D34" location="Delucchi2011" display="(Delucchi and Jacobson 2011)"/>
    <hyperlink ref="D38" location="CoxChris2013" display="Conservative, (Cox and Murphy 2013)"/>
    <hyperlink ref="D40" location="ClimatePolicy2015" display="(Climate Policy Initiative 2015)"/>
    <hyperlink ref="D41" location="Creyts2007" display="(Creyts et al. 2007)"/>
    <hyperlink ref="D42" location="Creyts2007" display="(Creyts et al. 2007)"/>
  </hyperlinks>
  <pageMargins left="0.7" right="0.7" top="0.75" bottom="0.75" header="0.3" footer="0.3"/>
  <pageSetup orientation="portrait" r:id="rId2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3A8DC12-FD94-4BEC-AA15-BA44B18D03B4}">
            <xm:f>'Instantatneous Model'!$K$16="N"</xm:f>
            <x14:dxf>
              <fill>
                <patternFill>
                  <bgColor rgb="FFC00000"/>
                </patternFill>
              </fill>
            </x14:dxf>
          </x14:cfRule>
          <xm:sqref>F3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xWindow="729" yWindow="300" count="1">
        <x14:dataValidation type="list" showInputMessage="1" showErrorMessage="1">
          <x14:formula1>
            <xm:f>'Allowable Values'!$A$6:$A$7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208"/>
  <sheetViews>
    <sheetView zoomScaleNormal="100" workbookViewId="0">
      <selection activeCell="B11" sqref="B11"/>
    </sheetView>
  </sheetViews>
  <sheetFormatPr defaultRowHeight="15" x14ac:dyDescent="0.25"/>
  <cols>
    <col min="1" max="1" width="29.7109375" customWidth="1"/>
    <col min="2" max="2" width="92.85546875" customWidth="1"/>
    <col min="3" max="38" width="9.140625" style="18"/>
  </cols>
  <sheetData>
    <row r="1" spans="1:2" ht="18.75" x14ac:dyDescent="0.3">
      <c r="A1" s="102" t="s">
        <v>6</v>
      </c>
      <c r="B1" s="103"/>
    </row>
    <row r="2" spans="1:2" x14ac:dyDescent="0.25">
      <c r="A2" s="154" t="s">
        <v>230</v>
      </c>
      <c r="B2" s="155" t="s">
        <v>244</v>
      </c>
    </row>
    <row r="3" spans="1:2" x14ac:dyDescent="0.25">
      <c r="A3" s="154" t="s">
        <v>231</v>
      </c>
      <c r="B3" s="155" t="s">
        <v>245</v>
      </c>
    </row>
    <row r="4" spans="1:2" x14ac:dyDescent="0.25">
      <c r="A4" s="154" t="s">
        <v>241</v>
      </c>
      <c r="B4" s="155" t="s">
        <v>246</v>
      </c>
    </row>
    <row r="5" spans="1:2" ht="30" x14ac:dyDescent="0.25">
      <c r="A5" s="154" t="s">
        <v>264</v>
      </c>
      <c r="B5" s="155" t="s">
        <v>247</v>
      </c>
    </row>
    <row r="6" spans="1:2" ht="45" x14ac:dyDescent="0.25">
      <c r="A6" s="154" t="s">
        <v>242</v>
      </c>
      <c r="B6" s="155" t="s">
        <v>248</v>
      </c>
    </row>
    <row r="7" spans="1:2" ht="45" x14ac:dyDescent="0.25">
      <c r="A7" s="154" t="s">
        <v>240</v>
      </c>
      <c r="B7" s="155" t="s">
        <v>249</v>
      </c>
    </row>
    <row r="8" spans="1:2" ht="45" x14ac:dyDescent="0.25">
      <c r="A8" s="154" t="s">
        <v>236</v>
      </c>
      <c r="B8" s="155" t="s">
        <v>250</v>
      </c>
    </row>
    <row r="9" spans="1:2" s="18" customFormat="1" ht="45" x14ac:dyDescent="0.25">
      <c r="A9" s="154" t="s">
        <v>239</v>
      </c>
      <c r="B9" s="155" t="s">
        <v>251</v>
      </c>
    </row>
    <row r="10" spans="1:2" s="18" customFormat="1" ht="30" x14ac:dyDescent="0.25">
      <c r="A10" s="154" t="s">
        <v>228</v>
      </c>
      <c r="B10" s="155" t="s">
        <v>252</v>
      </c>
    </row>
    <row r="11" spans="1:2" s="18" customFormat="1" ht="30" x14ac:dyDescent="0.25">
      <c r="A11" s="154" t="s">
        <v>232</v>
      </c>
      <c r="B11" s="155" t="s">
        <v>253</v>
      </c>
    </row>
    <row r="12" spans="1:2" s="18" customFormat="1" ht="30" x14ac:dyDescent="0.25">
      <c r="A12" s="154" t="s">
        <v>229</v>
      </c>
      <c r="B12" s="155" t="s">
        <v>254</v>
      </c>
    </row>
    <row r="13" spans="1:2" s="18" customFormat="1" ht="30" x14ac:dyDescent="0.25">
      <c r="A13" s="154" t="s">
        <v>234</v>
      </c>
      <c r="B13" s="155" t="s">
        <v>255</v>
      </c>
    </row>
    <row r="14" spans="1:2" s="18" customFormat="1" ht="30" x14ac:dyDescent="0.25">
      <c r="A14" s="154" t="s">
        <v>238</v>
      </c>
      <c r="B14" s="155" t="s">
        <v>256</v>
      </c>
    </row>
    <row r="15" spans="1:2" s="18" customFormat="1" ht="30" x14ac:dyDescent="0.25">
      <c r="A15" s="154" t="s">
        <v>261</v>
      </c>
      <c r="B15" s="155" t="s">
        <v>257</v>
      </c>
    </row>
    <row r="16" spans="1:2" s="18" customFormat="1" ht="45" x14ac:dyDescent="0.25">
      <c r="A16" s="154" t="s">
        <v>237</v>
      </c>
      <c r="B16" s="155" t="s">
        <v>258</v>
      </c>
    </row>
    <row r="17" spans="1:2" s="18" customFormat="1" ht="32.25" x14ac:dyDescent="0.25">
      <c r="A17" s="154" t="s">
        <v>233</v>
      </c>
      <c r="B17" s="155" t="s">
        <v>259</v>
      </c>
    </row>
    <row r="18" spans="1:2" s="18" customFormat="1" ht="30.75" thickBot="1" x14ac:dyDescent="0.3">
      <c r="A18" s="156" t="s">
        <v>235</v>
      </c>
      <c r="B18" s="157" t="s">
        <v>260</v>
      </c>
    </row>
    <row r="19" spans="1:2" s="18" customFormat="1" x14ac:dyDescent="0.25"/>
    <row r="20" spans="1:2" s="18" customFormat="1" x14ac:dyDescent="0.25"/>
    <row r="21" spans="1:2" s="18" customFormat="1" x14ac:dyDescent="0.25"/>
    <row r="22" spans="1:2" s="18" customFormat="1" x14ac:dyDescent="0.25"/>
    <row r="23" spans="1:2" s="18" customFormat="1" x14ac:dyDescent="0.25"/>
    <row r="24" spans="1:2" s="18" customFormat="1" x14ac:dyDescent="0.25"/>
    <row r="25" spans="1:2" s="18" customFormat="1" x14ac:dyDescent="0.25"/>
    <row r="26" spans="1:2" s="18" customFormat="1" x14ac:dyDescent="0.25"/>
    <row r="27" spans="1:2" s="18" customFormat="1" x14ac:dyDescent="0.25"/>
    <row r="28" spans="1:2" s="18" customFormat="1" x14ac:dyDescent="0.25"/>
    <row r="29" spans="1:2" s="18" customFormat="1" x14ac:dyDescent="0.25"/>
    <row r="30" spans="1:2" s="18" customFormat="1" x14ac:dyDescent="0.25"/>
    <row r="31" spans="1:2" s="18" customFormat="1" x14ac:dyDescent="0.25"/>
    <row r="32" spans="1:2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</sheetData>
  <hyperlinks>
    <hyperlink ref="A10" location="GOA_2013" display="(Government of Alberta 2013)"/>
    <hyperlink ref="A12" location="IHS_CERA_2015" display="(IHS CERA 2012)"/>
    <hyperlink ref="A2" location="AESO2008" display="(AESO 2008)"/>
    <hyperlink ref="A3" location="AESO2014" display="(AESO 2014)"/>
    <hyperlink ref="A11" location="GOA_2015" display="(Government of Alberta 2015)"/>
    <hyperlink ref="A15" location="Patel2005" display="(Patel 2005)"/>
    <hyperlink ref="A17" location="Vestas2014" display="(Vestas 2014)"/>
    <hyperlink ref="A13" location="RETScreen" display="(Natural Resources Canada 2013)"/>
    <hyperlink ref="A18" location="Wiser2015" display="(Wiser and Bolinger 2015)"/>
    <hyperlink ref="A8" location="EIA_2010" display="(EIA 2010)"/>
    <hyperlink ref="A16" location="Radaal2011" display="(Raadal et al. 2011)"/>
    <hyperlink ref="A14" location="Nugent2014" display="(Nugent and Sovacool 2014)"/>
    <hyperlink ref="A9" location="Georgilakis2008" display="(Georgilakis 2008)"/>
    <hyperlink ref="A7" location="Delucchi2011" display="(Delucchi and Jacobson 2011)"/>
    <hyperlink ref="A5" location="CoxChris2013" display="Conservative, (Cox and Murphy 2013)"/>
    <hyperlink ref="A4" location="ClimatePolicy2015" display="(Climate Policy Initiative 2015)"/>
    <hyperlink ref="A6" location="Creyts2007" display="(Creyts et al. 2007)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M21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1" sqref="E11"/>
    </sheetView>
  </sheetViews>
  <sheetFormatPr defaultRowHeight="15" x14ac:dyDescent="0.25"/>
  <cols>
    <col min="1" max="1" width="32" customWidth="1"/>
    <col min="2" max="2" width="12.85546875" customWidth="1"/>
    <col min="3" max="3" width="15" customWidth="1"/>
    <col min="4" max="4" width="13.28515625" customWidth="1"/>
    <col min="5" max="5" width="8.28515625" customWidth="1"/>
    <col min="6" max="6" width="13.85546875" customWidth="1"/>
    <col min="7" max="7" width="11.28515625" customWidth="1"/>
    <col min="8" max="8" width="13.7109375" customWidth="1"/>
    <col min="9" max="9" width="4.42578125" customWidth="1"/>
    <col min="10" max="10" width="20.85546875" customWidth="1"/>
    <col min="11" max="11" width="18.7109375" customWidth="1"/>
    <col min="12" max="12" width="12.140625" customWidth="1"/>
    <col min="14" max="14" width="8.5703125" customWidth="1"/>
    <col min="15" max="15" width="7" customWidth="1"/>
    <col min="16" max="16" width="8.7109375" customWidth="1"/>
    <col min="17" max="17" width="8.5703125" bestFit="1" customWidth="1"/>
    <col min="18" max="18" width="10.140625" bestFit="1" customWidth="1"/>
    <col min="19" max="19" width="8.140625" bestFit="1" customWidth="1"/>
    <col min="20" max="21" width="10.5703125" bestFit="1" customWidth="1"/>
    <col min="22" max="22" width="7.5703125" customWidth="1"/>
    <col min="23" max="24" width="11" customWidth="1"/>
    <col min="25" max="64" width="9.140625" style="18"/>
    <col min="65" max="65" width="9.140625" style="18" customWidth="1"/>
  </cols>
  <sheetData>
    <row r="1" spans="1:24" ht="18.75" x14ac:dyDescent="0.3">
      <c r="A1" s="169" t="s">
        <v>96</v>
      </c>
      <c r="B1" s="170"/>
      <c r="C1" s="171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48.75" customHeight="1" thickBot="1" x14ac:dyDescent="0.3">
      <c r="A2" s="185" t="s">
        <v>124</v>
      </c>
      <c r="B2" s="186"/>
      <c r="C2" s="18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ht="60.75" thickBot="1" x14ac:dyDescent="0.3">
      <c r="A4" s="106" t="s">
        <v>0</v>
      </c>
      <c r="B4" s="107" t="s">
        <v>93</v>
      </c>
      <c r="C4" s="108" t="s">
        <v>121</v>
      </c>
      <c r="D4" s="108" t="s">
        <v>8</v>
      </c>
      <c r="E4" s="108" t="s">
        <v>7</v>
      </c>
      <c r="F4" s="108" t="s">
        <v>1</v>
      </c>
      <c r="G4" s="108" t="s">
        <v>2</v>
      </c>
      <c r="H4" s="108" t="s">
        <v>9</v>
      </c>
      <c r="I4" s="109" t="s">
        <v>94</v>
      </c>
      <c r="J4" s="108" t="s">
        <v>17</v>
      </c>
      <c r="K4" s="108" t="s">
        <v>34</v>
      </c>
      <c r="L4" s="108" t="s">
        <v>33</v>
      </c>
      <c r="M4" s="109" t="s">
        <v>23</v>
      </c>
      <c r="N4" s="109" t="s">
        <v>24</v>
      </c>
      <c r="O4" s="109" t="s">
        <v>25</v>
      </c>
      <c r="P4" s="108" t="s">
        <v>26</v>
      </c>
      <c r="Q4" s="109" t="s">
        <v>27</v>
      </c>
      <c r="R4" s="109" t="s">
        <v>28</v>
      </c>
      <c r="S4" s="109" t="s">
        <v>29</v>
      </c>
      <c r="T4" s="109" t="s">
        <v>30</v>
      </c>
      <c r="U4" s="109" t="s">
        <v>31</v>
      </c>
      <c r="V4" s="108" t="s">
        <v>35</v>
      </c>
      <c r="W4" s="109" t="s">
        <v>21</v>
      </c>
      <c r="X4" s="110" t="s">
        <v>95</v>
      </c>
    </row>
    <row r="5" spans="1:24" ht="15.75" thickBot="1" x14ac:dyDescent="0.3">
      <c r="A5" s="22" t="s">
        <v>47</v>
      </c>
      <c r="B5" s="22">
        <v>1</v>
      </c>
      <c r="C5" s="23" t="s">
        <v>172</v>
      </c>
      <c r="D5" s="23">
        <v>0</v>
      </c>
      <c r="E5" s="19">
        <f>IF('Dashboard and Input Variables'!$B$9="No",'Dashboard and Input Variables'!$B$8*'Dashboard and Input Variables'!$B$3/365/24/10^6,0)</f>
        <v>1.0810045662100458</v>
      </c>
      <c r="F5" s="24">
        <v>0</v>
      </c>
      <c r="G5" s="24">
        <f>'Dashboard and Input Variables'!$B$30</f>
        <v>0.2</v>
      </c>
      <c r="H5" s="19">
        <f t="shared" ref="H5:H14" si="0">(G5-F5)*E5</f>
        <v>0.21620091324200919</v>
      </c>
      <c r="I5" s="22"/>
      <c r="J5" s="22" t="s">
        <v>18</v>
      </c>
      <c r="K5" s="140">
        <f>IF(J5="List Source Ratios",SUMPRODUCT(M5:V5,'GHG by Electricity Source'!$B$4:$K$4)/SUM(Table1[[#This Row],[Lignite]:[Waste Heat]]),L5)</f>
        <v>2.8907999999999996</v>
      </c>
      <c r="L5" s="140">
        <f>0.6*'GHG by Electricity Source'!$E$4</f>
        <v>2.8907999999999996</v>
      </c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22"/>
      <c r="X5" s="22"/>
    </row>
    <row r="6" spans="1:24" ht="15.75" thickBot="1" x14ac:dyDescent="0.3">
      <c r="A6" s="21" t="s">
        <v>56</v>
      </c>
      <c r="B6" s="21">
        <v>2</v>
      </c>
      <c r="C6" s="23" t="s">
        <v>172</v>
      </c>
      <c r="D6" s="21">
        <v>0</v>
      </c>
      <c r="E6" s="20">
        <f>IF('Dashboard and Input Variables'!$B$9="No",0,'Dashboard and Input Variables'!$B$8*'Dashboard and Input Variables'!$B$3/365/24/10^6)</f>
        <v>0</v>
      </c>
      <c r="F6" s="25">
        <v>0</v>
      </c>
      <c r="G6" s="25">
        <f>'Dashboard and Input Variables'!$B$30</f>
        <v>0.2</v>
      </c>
      <c r="H6" s="20">
        <f t="shared" si="0"/>
        <v>0</v>
      </c>
      <c r="I6" s="21"/>
      <c r="J6" s="21" t="s">
        <v>18</v>
      </c>
      <c r="K6" s="62">
        <f>IF(J6="List Source Ratios",SUMPRODUCT(M6:V6,'GHG by Electricity Source'!$B$4:$K$4)/SUM(Table1[[#This Row],[Lignite]:[Waste Heat]]),L6)</f>
        <v>7.5419999999999998</v>
      </c>
      <c r="L6" s="141">
        <v>7.5419999999999998</v>
      </c>
      <c r="M6" s="116">
        <v>0</v>
      </c>
      <c r="N6" s="116">
        <v>0.66749999999999998</v>
      </c>
      <c r="O6" s="116">
        <v>2.0000000000000001E-4</v>
      </c>
      <c r="P6" s="116">
        <v>0.20480000000000001</v>
      </c>
      <c r="Q6" s="116">
        <v>3.9600000000000003E-2</v>
      </c>
      <c r="R6" s="116">
        <v>0</v>
      </c>
      <c r="S6" s="116">
        <v>4.58E-2</v>
      </c>
      <c r="T6" s="116">
        <v>0</v>
      </c>
      <c r="U6" s="116">
        <v>9.4000000000000004E-3</v>
      </c>
      <c r="V6" s="116">
        <v>3.27E-2</v>
      </c>
      <c r="W6" s="21" t="s">
        <v>36</v>
      </c>
      <c r="X6" s="21" t="s">
        <v>37</v>
      </c>
    </row>
    <row r="7" spans="1:24" x14ac:dyDescent="0.25">
      <c r="A7" s="21" t="s">
        <v>55</v>
      </c>
      <c r="B7" s="21">
        <v>3</v>
      </c>
      <c r="C7" s="23" t="s">
        <v>172</v>
      </c>
      <c r="D7" s="21">
        <v>0</v>
      </c>
      <c r="E7" s="20">
        <f>IF('Dashboard and Input Variables'!$B$9="No",0,'Dashboard and Input Variables'!$B$8*'Dashboard and Input Variables'!$B$3/365/24/10^6*('Dashboard and Input Variables'!$B$10-1))</f>
        <v>0</v>
      </c>
      <c r="F7" s="25">
        <v>0</v>
      </c>
      <c r="G7" s="25">
        <v>1</v>
      </c>
      <c r="H7" s="20">
        <f t="shared" si="0"/>
        <v>0</v>
      </c>
      <c r="I7" s="21"/>
      <c r="J7" s="21" t="s">
        <v>18</v>
      </c>
      <c r="K7" s="62">
        <f>IF(J7="List Source Ratios",SUMPRODUCT(M7:V7,'GHG by Electricity Source'!$B$4:$K$4)/SUM(Table1[[#This Row],[Lignite]:[Waste Heat]]),L7)</f>
        <v>2.1680999999999999</v>
      </c>
      <c r="L7" s="62">
        <f>'GHG by Electricity Source'!E4*0.45</f>
        <v>2.1680999999999999</v>
      </c>
      <c r="M7" s="116">
        <v>0</v>
      </c>
      <c r="N7" s="116">
        <v>0.66749999999999998</v>
      </c>
      <c r="O7" s="116">
        <v>2.0000000000000001E-4</v>
      </c>
      <c r="P7" s="116">
        <v>0.20480000000000001</v>
      </c>
      <c r="Q7" s="116">
        <v>3.9600000000000003E-2</v>
      </c>
      <c r="R7" s="116">
        <v>0</v>
      </c>
      <c r="S7" s="116">
        <v>4.58E-2</v>
      </c>
      <c r="T7" s="116">
        <v>0</v>
      </c>
      <c r="U7" s="116">
        <v>9.4000000000000004E-3</v>
      </c>
      <c r="V7" s="116">
        <v>3.27E-2</v>
      </c>
      <c r="W7" s="21" t="s">
        <v>36</v>
      </c>
      <c r="X7" s="21" t="s">
        <v>37</v>
      </c>
    </row>
    <row r="8" spans="1:24" x14ac:dyDescent="0.25">
      <c r="A8" s="21" t="s">
        <v>10</v>
      </c>
      <c r="B8" s="21">
        <v>4</v>
      </c>
      <c r="C8" s="21" t="s">
        <v>11</v>
      </c>
      <c r="D8" s="21">
        <v>500</v>
      </c>
      <c r="E8" s="21">
        <v>9.1</v>
      </c>
      <c r="F8" s="25">
        <v>4.2999999999999997E-2</v>
      </c>
      <c r="G8" s="25">
        <f>'Dashboard and Input Variables'!$B$30</f>
        <v>0.2</v>
      </c>
      <c r="H8" s="20">
        <f t="shared" si="0"/>
        <v>1.4287000000000003</v>
      </c>
      <c r="I8" s="21"/>
      <c r="J8" s="21" t="s">
        <v>18</v>
      </c>
      <c r="K8" s="62">
        <f>IF(J8="List Source Ratios",SUMPRODUCT(M8:V8,'GHG by Electricity Source'!$B$4:$K$4)/SUM(Table1[[#This Row],[Lignite]:[Waste Heat]]),L8)</f>
        <v>7.5419999999999998</v>
      </c>
      <c r="L8" s="141">
        <v>7.5419999999999998</v>
      </c>
      <c r="M8" s="116">
        <v>0</v>
      </c>
      <c r="N8" s="116">
        <v>0.66749999999999998</v>
      </c>
      <c r="O8" s="116">
        <v>2.0000000000000001E-4</v>
      </c>
      <c r="P8" s="116">
        <v>0.20480000000000001</v>
      </c>
      <c r="Q8" s="116">
        <v>3.9600000000000003E-2</v>
      </c>
      <c r="R8" s="116">
        <v>0</v>
      </c>
      <c r="S8" s="116">
        <v>4.58E-2</v>
      </c>
      <c r="T8" s="116">
        <v>0</v>
      </c>
      <c r="U8" s="116">
        <v>9.4000000000000004E-3</v>
      </c>
      <c r="V8" s="116">
        <v>3.27E-2</v>
      </c>
      <c r="W8" s="21" t="s">
        <v>36</v>
      </c>
      <c r="X8" s="21" t="s">
        <v>37</v>
      </c>
    </row>
    <row r="9" spans="1:24" x14ac:dyDescent="0.25">
      <c r="A9" s="21" t="s">
        <v>16</v>
      </c>
      <c r="B9" s="21">
        <v>5</v>
      </c>
      <c r="C9" s="21" t="s">
        <v>120</v>
      </c>
      <c r="D9" s="21">
        <v>3200</v>
      </c>
      <c r="E9" s="21">
        <v>433</v>
      </c>
      <c r="F9" s="25">
        <v>4.7E-2</v>
      </c>
      <c r="G9" s="25">
        <f>'Dashboard and Input Variables'!$B$30</f>
        <v>0.2</v>
      </c>
      <c r="H9" s="20">
        <f t="shared" si="0"/>
        <v>66.249000000000009</v>
      </c>
      <c r="I9" s="21"/>
      <c r="J9" s="21" t="s">
        <v>18</v>
      </c>
      <c r="K9" s="62">
        <f>IF(J9="List Source Ratios",SUMPRODUCT(M9:V9,'GHG by Electricity Source'!$B$4:$K$4)/SUM(Table1[[#This Row],[Lignite]:[Waste Heat]]),L9)</f>
        <v>4.71</v>
      </c>
      <c r="L9" s="141">
        <v>4.71</v>
      </c>
      <c r="M9" s="116"/>
      <c r="N9" s="116">
        <v>0.504</v>
      </c>
      <c r="O9" s="116">
        <v>8.9999999999999993E-3</v>
      </c>
      <c r="P9" s="116">
        <v>0.2</v>
      </c>
      <c r="Q9" s="116">
        <v>9.9000000000000005E-2</v>
      </c>
      <c r="R9" s="116">
        <v>0.17599999999999999</v>
      </c>
      <c r="S9" s="116">
        <v>1.4E-2</v>
      </c>
      <c r="T9" s="116">
        <v>0</v>
      </c>
      <c r="U9" s="116"/>
      <c r="V9" s="116"/>
      <c r="W9" s="21" t="s">
        <v>38</v>
      </c>
      <c r="X9" s="21"/>
    </row>
    <row r="10" spans="1:24" x14ac:dyDescent="0.25">
      <c r="A10" s="21" t="s">
        <v>12</v>
      </c>
      <c r="B10" s="21">
        <v>6</v>
      </c>
      <c r="C10" s="21" t="s">
        <v>13</v>
      </c>
      <c r="D10" s="21">
        <v>2800</v>
      </c>
      <c r="E10" s="21">
        <v>33.9</v>
      </c>
      <c r="F10" s="25">
        <v>8.1000000000000003E-2</v>
      </c>
      <c r="G10" s="25">
        <f>'Dashboard and Input Variables'!$B$30</f>
        <v>0.2</v>
      </c>
      <c r="H10" s="20">
        <f t="shared" si="0"/>
        <v>4.0341000000000005</v>
      </c>
      <c r="I10" s="21"/>
      <c r="J10" s="21" t="s">
        <v>18</v>
      </c>
      <c r="K10" s="62">
        <f>IF(J10="List Source Ratios",SUMPRODUCT(M10:V10,'GHG by Electricity Source'!$B$4:$K$4)/SUM(Table1[[#This Row],[Lignite]:[Waste Heat]]),L10)</f>
        <v>2.8</v>
      </c>
      <c r="L10" s="141">
        <v>2.8</v>
      </c>
      <c r="M10" s="116"/>
      <c r="N10" s="116">
        <v>6.4000000000000001E-2</v>
      </c>
      <c r="O10" s="116">
        <v>0</v>
      </c>
      <c r="P10" s="116">
        <v>0.44500000000000001</v>
      </c>
      <c r="Q10" s="116">
        <v>6.4000000000000001E-2</v>
      </c>
      <c r="R10" s="116">
        <v>8.5000000000000006E-2</v>
      </c>
      <c r="S10" s="116">
        <v>8.1000000000000003E-2</v>
      </c>
      <c r="T10" s="116">
        <v>4.2000000000000003E-2</v>
      </c>
      <c r="U10" s="116">
        <v>2.5000000000000001E-2</v>
      </c>
      <c r="V10" s="116">
        <v>2.5000000000000001E-2</v>
      </c>
      <c r="W10" s="21" t="s">
        <v>39</v>
      </c>
      <c r="X10" s="21"/>
    </row>
    <row r="11" spans="1:24" x14ac:dyDescent="0.25">
      <c r="A11" s="21" t="s">
        <v>14</v>
      </c>
      <c r="B11" s="21">
        <v>7</v>
      </c>
      <c r="C11" s="21" t="s">
        <v>15</v>
      </c>
      <c r="D11" s="21">
        <v>4000</v>
      </c>
      <c r="E11" s="21">
        <v>50.7</v>
      </c>
      <c r="F11" s="25">
        <v>1.4999999999999999E-2</v>
      </c>
      <c r="G11" s="25">
        <f>'Dashboard and Input Variables'!$B$30</f>
        <v>0.2</v>
      </c>
      <c r="H11" s="20">
        <f t="shared" si="0"/>
        <v>9.3795000000000002</v>
      </c>
      <c r="I11" s="21"/>
      <c r="J11" s="21" t="s">
        <v>18</v>
      </c>
      <c r="K11" s="62">
        <f>IF(J11="List Source Ratios",SUMPRODUCT(M11:V11,'GHG by Electricity Source'!$B$4:$K$4)/SUM(Table1[[#This Row],[Lignite]:[Waste Heat]]),L11)</f>
        <v>0.3</v>
      </c>
      <c r="L11" s="141">
        <v>0.3</v>
      </c>
      <c r="M11" s="116">
        <v>1.9900000000000001E-2</v>
      </c>
      <c r="N11" s="116">
        <v>2.3E-2</v>
      </c>
      <c r="O11" s="116">
        <v>3.5999999999999999E-3</v>
      </c>
      <c r="P11" s="116">
        <v>4.1500000000000002E-2</v>
      </c>
      <c r="Q11" s="116">
        <v>0.69720000000000004</v>
      </c>
      <c r="R11" s="116">
        <v>0.19020000000000001</v>
      </c>
      <c r="S11" s="116">
        <v>1.2500000000000001E-2</v>
      </c>
      <c r="T11" s="116">
        <v>5.0000000000000001E-4</v>
      </c>
      <c r="U11" s="116">
        <v>2.5999999999999999E-3</v>
      </c>
      <c r="V11" s="116">
        <v>8.8000000000000005E-3</v>
      </c>
      <c r="W11" s="21" t="s">
        <v>36</v>
      </c>
      <c r="X11" s="120" t="s">
        <v>37</v>
      </c>
    </row>
    <row r="12" spans="1:24" x14ac:dyDescent="0.25">
      <c r="A12" s="111" t="s">
        <v>143</v>
      </c>
      <c r="B12" s="21">
        <v>8</v>
      </c>
      <c r="C12" s="21"/>
      <c r="D12" s="21"/>
      <c r="E12" s="21"/>
      <c r="F12" s="25"/>
      <c r="G12" s="25">
        <f>'Dashboard and Input Variables'!$B$30</f>
        <v>0.2</v>
      </c>
      <c r="H12" s="20">
        <f t="shared" si="0"/>
        <v>0</v>
      </c>
      <c r="I12" s="21"/>
      <c r="J12" s="21" t="s">
        <v>18</v>
      </c>
      <c r="K12" s="62">
        <f>IF(J12="List Source Ratios",SUMPRODUCT(M12:V12,'GHG by Electricity Source'!$B$4:$K$4)/SUM(Table1[[#This Row],[Lignite]:[Waste Heat]]),L12)</f>
        <v>0</v>
      </c>
      <c r="L12" s="21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21"/>
      <c r="X12" s="21"/>
    </row>
    <row r="13" spans="1:24" x14ac:dyDescent="0.25">
      <c r="A13" s="111" t="s">
        <v>143</v>
      </c>
      <c r="B13" s="21">
        <v>9</v>
      </c>
      <c r="C13" s="21"/>
      <c r="D13" s="21"/>
      <c r="E13" s="21"/>
      <c r="F13" s="25"/>
      <c r="G13" s="25">
        <f>'Dashboard and Input Variables'!$B$30</f>
        <v>0.2</v>
      </c>
      <c r="H13" s="20">
        <f t="shared" si="0"/>
        <v>0</v>
      </c>
      <c r="I13" s="21"/>
      <c r="J13" s="21" t="s">
        <v>18</v>
      </c>
      <c r="K13" s="62">
        <f>IF(J13="List Source Ratios",SUMPRODUCT(M13:V13,'GHG by Electricity Source'!$B$4:$K$4)/SUM(Table1[[#This Row],[Lignite]:[Waste Heat]]),L13)</f>
        <v>0</v>
      </c>
      <c r="L13" s="21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21"/>
      <c r="X13" s="21"/>
    </row>
    <row r="14" spans="1:24" x14ac:dyDescent="0.25">
      <c r="A14" s="111" t="s">
        <v>143</v>
      </c>
      <c r="B14" s="21">
        <v>10</v>
      </c>
      <c r="C14" s="21"/>
      <c r="D14" s="21"/>
      <c r="E14" s="21"/>
      <c r="F14" s="21"/>
      <c r="G14" s="25">
        <f>'Dashboard and Input Variables'!$B$30</f>
        <v>0.2</v>
      </c>
      <c r="H14" s="20">
        <f t="shared" si="0"/>
        <v>0</v>
      </c>
      <c r="I14" s="21"/>
      <c r="J14" s="21" t="s">
        <v>18</v>
      </c>
      <c r="K14" s="62">
        <f>IF(J14="List Source Ratios",SUMPRODUCT(M14:V14,'GHG by Electricity Source'!$B$4:$K$4)/SUM(Table1[[#This Row],[Lignite]:[Waste Heat]]),L14)</f>
        <v>0</v>
      </c>
      <c r="L14" s="21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1"/>
      <c r="X14" s="21"/>
    </row>
    <row r="15" spans="1:24" s="18" customFormat="1" x14ac:dyDescent="0.25"/>
    <row r="16" spans="1:24" s="18" customFormat="1" x14ac:dyDescent="0.25"/>
    <row r="17" s="18" customFormat="1" x14ac:dyDescent="0.25"/>
    <row r="18" s="18" customFormat="1" x14ac:dyDescent="0.25"/>
    <row r="19" s="18" customFormat="1" x14ac:dyDescent="0.25"/>
    <row r="20" s="18" customFormat="1" x14ac:dyDescent="0.25"/>
    <row r="21" s="18" customFormat="1" x14ac:dyDescent="0.25"/>
    <row r="22" s="18" customFormat="1" x14ac:dyDescent="0.25"/>
    <row r="23" s="18" customFormat="1" x14ac:dyDescent="0.25"/>
    <row r="24" s="18" customFormat="1" x14ac:dyDescent="0.25"/>
    <row r="25" s="18" customFormat="1" x14ac:dyDescent="0.25"/>
    <row r="26" s="18" customFormat="1" x14ac:dyDescent="0.25"/>
    <row r="27" s="18" customFormat="1" x14ac:dyDescent="0.25"/>
    <row r="28" s="18" customFormat="1" x14ac:dyDescent="0.25"/>
    <row r="29" s="18" customFormat="1" x14ac:dyDescent="0.25"/>
    <row r="30" s="18" customFormat="1" x14ac:dyDescent="0.25"/>
    <row r="31" s="18" customFormat="1" x14ac:dyDescent="0.25"/>
    <row r="32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</sheetData>
  <mergeCells count="2">
    <mergeCell ref="A1:C1"/>
    <mergeCell ref="A2:C2"/>
  </mergeCells>
  <conditionalFormatting sqref="M5:V5">
    <cfRule type="expression" dxfId="53" priority="4">
      <formula>$J5="Direct Input"</formula>
    </cfRule>
  </conditionalFormatting>
  <conditionalFormatting sqref="M6:V13">
    <cfRule type="expression" dxfId="52" priority="3">
      <formula>$J6="Direct Input"</formula>
    </cfRule>
  </conditionalFormatting>
  <conditionalFormatting sqref="L5">
    <cfRule type="expression" dxfId="51" priority="2">
      <formula>$J5="List Source Ratios"</formula>
    </cfRule>
  </conditionalFormatting>
  <conditionalFormatting sqref="L6:L14">
    <cfRule type="expression" dxfId="50" priority="1">
      <formula>$J6="List Source Ratios"</formula>
    </cfRule>
  </conditionalFormatting>
  <hyperlinks>
    <hyperlink ref="X11" r:id="rId1"/>
  </hyperlinks>
  <pageMargins left="0.7" right="0.7" top="0.75" bottom="0.75" header="0.3" footer="0.3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'Allowable Values'!$A$2:$A$3</xm:f>
          </x14:formula1>
          <xm:sqref>J5:J14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2"/>
  <sheetViews>
    <sheetView workbookViewId="0">
      <selection activeCell="G21" sqref="G21"/>
    </sheetView>
  </sheetViews>
  <sheetFormatPr defaultRowHeight="15" x14ac:dyDescent="0.25"/>
  <cols>
    <col min="1" max="1" width="32.42578125" customWidth="1"/>
  </cols>
  <sheetData>
    <row r="1" spans="1:5" x14ac:dyDescent="0.25">
      <c r="B1" t="s">
        <v>210</v>
      </c>
      <c r="C1" t="s">
        <v>226</v>
      </c>
      <c r="D1" t="s">
        <v>212</v>
      </c>
      <c r="E1" t="s">
        <v>211</v>
      </c>
    </row>
    <row r="2" spans="1:5" x14ac:dyDescent="0.25">
      <c r="A2" t="s">
        <v>209</v>
      </c>
      <c r="B2" s="148"/>
      <c r="C2" s="148">
        <f>'Dashboard and Input Variables'!$B$42</f>
        <v>50</v>
      </c>
      <c r="D2" s="148">
        <f>'Dashboard and Input Variables'!$B$41</f>
        <v>38</v>
      </c>
      <c r="E2" s="148">
        <f>'Dashboard and Input Variables'!$B$40</f>
        <v>12</v>
      </c>
    </row>
    <row r="3" spans="1:5" x14ac:dyDescent="0.25">
      <c r="A3" t="str">
        <f>'Dashboard and Input Variables'!A48</f>
        <v>NPV Turbine CapX</v>
      </c>
      <c r="B3" s="148">
        <f ca="1">'Dashboard and Input Variables'!U48</f>
        <v>48.164257988836646</v>
      </c>
      <c r="C3" s="148"/>
      <c r="D3" s="148"/>
      <c r="E3" s="148"/>
    </row>
    <row r="4" spans="1:5" x14ac:dyDescent="0.25">
      <c r="A4" t="str">
        <f>'Dashboard and Input Variables'!A49</f>
        <v>NPV Turbine Maintenance</v>
      </c>
      <c r="B4" s="148">
        <f ca="1">'Dashboard and Input Variables'!U49</f>
        <v>8.6221285770239131</v>
      </c>
      <c r="C4" s="148"/>
      <c r="D4" s="148"/>
      <c r="E4" s="148"/>
    </row>
    <row r="5" spans="1:5" x14ac:dyDescent="0.25">
      <c r="A5" t="str">
        <f>'Dashboard and Input Variables'!A50</f>
        <v>NPV  Intra-Province Transmission</v>
      </c>
      <c r="B5" s="148">
        <f ca="1">'Dashboard and Input Variables'!U50</f>
        <v>0.64548582021979128</v>
      </c>
      <c r="C5" s="148"/>
      <c r="D5" s="148"/>
      <c r="E5" s="148"/>
    </row>
    <row r="6" spans="1:5" x14ac:dyDescent="0.25">
      <c r="A6" t="str">
        <f>'Dashboard and Input Variables'!A51</f>
        <v>NPV Extra-Province Transmission</v>
      </c>
      <c r="B6" s="148">
        <f ca="1">'Dashboard and Input Variables'!U51</f>
        <v>2.9359726310816736</v>
      </c>
      <c r="C6" s="148"/>
      <c r="D6" s="148"/>
      <c r="E6" s="148"/>
    </row>
    <row r="17" spans="1:7" x14ac:dyDescent="0.25">
      <c r="B17" t="s">
        <v>215</v>
      </c>
      <c r="C17" t="s">
        <v>224</v>
      </c>
      <c r="D17" t="s">
        <v>216</v>
      </c>
      <c r="E17" t="s">
        <v>218</v>
      </c>
      <c r="F17" t="s">
        <v>219</v>
      </c>
      <c r="G17" t="s">
        <v>217</v>
      </c>
    </row>
    <row r="18" spans="1:7" x14ac:dyDescent="0.25">
      <c r="A18" t="s">
        <v>221</v>
      </c>
      <c r="B18" s="148">
        <v>92.02</v>
      </c>
      <c r="C18" s="148">
        <v>97.90583333333332</v>
      </c>
      <c r="D18" s="148">
        <v>106.57</v>
      </c>
      <c r="E18" s="148">
        <f t="shared" ref="E18:F21" si="0">C18-B18</f>
        <v>5.8858333333333235</v>
      </c>
      <c r="F18" s="148">
        <f t="shared" si="0"/>
        <v>8.6641666666666737</v>
      </c>
      <c r="G18" s="148"/>
    </row>
    <row r="19" spans="1:7" x14ac:dyDescent="0.25">
      <c r="A19" t="s">
        <v>222</v>
      </c>
      <c r="B19" s="148">
        <v>59.29</v>
      </c>
      <c r="C19" s="148">
        <v>93.258333333333326</v>
      </c>
      <c r="D19" s="148">
        <v>105.79</v>
      </c>
      <c r="E19" s="148">
        <f t="shared" si="0"/>
        <v>33.968333333333327</v>
      </c>
      <c r="F19" s="148">
        <f t="shared" si="0"/>
        <v>12.53166666666668</v>
      </c>
      <c r="G19" s="148"/>
    </row>
    <row r="20" spans="1:7" x14ac:dyDescent="0.25">
      <c r="A20" t="s">
        <v>223</v>
      </c>
      <c r="B20" s="148">
        <v>42.39</v>
      </c>
      <c r="C20" s="148">
        <v>49.729090909090907</v>
      </c>
      <c r="D20" s="148">
        <v>59.82</v>
      </c>
      <c r="E20" s="148">
        <f t="shared" si="0"/>
        <v>7.3390909090909062</v>
      </c>
      <c r="F20" s="148">
        <f t="shared" si="0"/>
        <v>10.090909090909093</v>
      </c>
      <c r="G20" s="148"/>
    </row>
    <row r="21" spans="1:7" x14ac:dyDescent="0.25">
      <c r="A21" t="s">
        <v>225</v>
      </c>
      <c r="B21" s="148">
        <v>47</v>
      </c>
      <c r="C21" s="148">
        <v>70</v>
      </c>
      <c r="D21" s="148">
        <v>84</v>
      </c>
      <c r="E21" s="148">
        <f t="shared" si="0"/>
        <v>23</v>
      </c>
      <c r="F21" s="148">
        <f t="shared" si="0"/>
        <v>14</v>
      </c>
      <c r="G21" s="148">
        <v>10</v>
      </c>
    </row>
    <row r="22" spans="1:7" x14ac:dyDescent="0.25">
      <c r="A22" t="s">
        <v>220</v>
      </c>
      <c r="B22" s="148"/>
      <c r="C22" s="148">
        <v>47.27</v>
      </c>
      <c r="D22" s="148"/>
      <c r="E22" s="148"/>
      <c r="F22" s="148"/>
      <c r="G22" s="148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200"/>
  <sheetViews>
    <sheetView workbookViewId="0">
      <selection activeCell="O38" sqref="O38"/>
    </sheetView>
  </sheetViews>
  <sheetFormatPr defaultRowHeight="15" x14ac:dyDescent="0.25"/>
  <cols>
    <col min="1" max="1" width="27.5703125" customWidth="1"/>
    <col min="2" max="2" width="10" customWidth="1"/>
    <col min="3" max="3" width="8.85546875" customWidth="1"/>
    <col min="4" max="4" width="8.140625" customWidth="1"/>
    <col min="5" max="5" width="11.28515625" bestFit="1" customWidth="1"/>
    <col min="6" max="6" width="7.42578125" customWidth="1"/>
    <col min="7" max="7" width="7.85546875" bestFit="1" customWidth="1"/>
    <col min="8" max="8" width="7.28515625" customWidth="1"/>
    <col min="9" max="10" width="8.28515625" bestFit="1" customWidth="1"/>
    <col min="11" max="11" width="11.28515625" bestFit="1" customWidth="1"/>
    <col min="12" max="12" width="18.7109375" customWidth="1"/>
    <col min="13" max="26" width="9.140625" style="18"/>
  </cols>
  <sheetData>
    <row r="1" spans="1:12" ht="19.5" thickBot="1" x14ac:dyDescent="0.35">
      <c r="A1" s="81" t="s">
        <v>155</v>
      </c>
      <c r="B1" s="82"/>
      <c r="C1" s="83"/>
      <c r="D1" s="81"/>
      <c r="E1" s="82"/>
      <c r="F1" s="83"/>
      <c r="G1" s="81"/>
      <c r="H1" s="82"/>
      <c r="I1" s="83"/>
      <c r="J1" s="81"/>
      <c r="K1" s="82"/>
      <c r="L1" s="83"/>
    </row>
    <row r="2" spans="1:12" ht="15.75" thickBot="1" x14ac:dyDescent="0.3">
      <c r="A2" s="95"/>
      <c r="B2" s="35" t="s">
        <v>23</v>
      </c>
      <c r="C2" s="33" t="s">
        <v>24</v>
      </c>
      <c r="D2" s="33" t="s">
        <v>25</v>
      </c>
      <c r="E2" s="33" t="s">
        <v>26</v>
      </c>
      <c r="F2" s="33" t="s">
        <v>27</v>
      </c>
      <c r="G2" s="33" t="s">
        <v>28</v>
      </c>
      <c r="H2" s="33" t="s">
        <v>29</v>
      </c>
      <c r="I2" s="33" t="s">
        <v>30</v>
      </c>
      <c r="J2" s="33" t="s">
        <v>31</v>
      </c>
      <c r="K2" s="34" t="s">
        <v>35</v>
      </c>
      <c r="L2" s="94" t="s">
        <v>21</v>
      </c>
    </row>
    <row r="3" spans="1:12" x14ac:dyDescent="0.25">
      <c r="A3" s="31" t="s">
        <v>22</v>
      </c>
      <c r="B3" s="3">
        <v>1100</v>
      </c>
      <c r="C3" s="4">
        <v>1000</v>
      </c>
      <c r="D3" s="4">
        <v>800</v>
      </c>
      <c r="E3" s="4">
        <v>550</v>
      </c>
      <c r="F3" s="4">
        <v>8</v>
      </c>
      <c r="G3" s="4">
        <v>9</v>
      </c>
      <c r="H3" s="4">
        <v>10</v>
      </c>
      <c r="I3" s="4">
        <v>58</v>
      </c>
      <c r="J3" s="4">
        <v>67</v>
      </c>
      <c r="K3" s="5">
        <v>0</v>
      </c>
      <c r="L3" s="93" t="s">
        <v>122</v>
      </c>
    </row>
    <row r="4" spans="1:12" s="18" customFormat="1" ht="15.75" thickBot="1" x14ac:dyDescent="0.3">
      <c r="A4" s="32" t="s">
        <v>32</v>
      </c>
      <c r="B4" s="139">
        <f>B3*365*24/10^6</f>
        <v>9.6359999999999992</v>
      </c>
      <c r="C4" s="139">
        <f t="shared" ref="C4:K4" si="0">C3*365*24/10^6</f>
        <v>8.76</v>
      </c>
      <c r="D4" s="139">
        <f t="shared" si="0"/>
        <v>7.008</v>
      </c>
      <c r="E4" s="139">
        <f t="shared" si="0"/>
        <v>4.8179999999999996</v>
      </c>
      <c r="F4" s="139">
        <f t="shared" si="0"/>
        <v>7.0080000000000003E-2</v>
      </c>
      <c r="G4" s="139">
        <f t="shared" si="0"/>
        <v>7.8839999999999993E-2</v>
      </c>
      <c r="H4" s="139">
        <f t="shared" si="0"/>
        <v>8.7599999999999997E-2</v>
      </c>
      <c r="I4" s="139">
        <f t="shared" si="0"/>
        <v>0.50807999999999998</v>
      </c>
      <c r="J4" s="139">
        <f t="shared" si="0"/>
        <v>0.58692</v>
      </c>
      <c r="K4" s="139">
        <f t="shared" si="0"/>
        <v>0</v>
      </c>
      <c r="L4" s="29" t="s">
        <v>123</v>
      </c>
    </row>
    <row r="5" spans="1:12" s="18" customFormat="1" x14ac:dyDescent="0.25"/>
    <row r="6" spans="1:12" s="18" customFormat="1" x14ac:dyDescent="0.25"/>
    <row r="7" spans="1:12" s="18" customFormat="1" x14ac:dyDescent="0.25"/>
    <row r="8" spans="1:12" s="18" customFormat="1" x14ac:dyDescent="0.25"/>
    <row r="9" spans="1:12" s="18" customFormat="1" x14ac:dyDescent="0.25"/>
    <row r="10" spans="1:12" s="18" customFormat="1" x14ac:dyDescent="0.25"/>
    <row r="11" spans="1:12" s="18" customFormat="1" x14ac:dyDescent="0.25"/>
    <row r="12" spans="1:12" s="18" customFormat="1" x14ac:dyDescent="0.25"/>
    <row r="13" spans="1:12" s="18" customFormat="1" x14ac:dyDescent="0.25"/>
    <row r="14" spans="1:12" s="18" customFormat="1" x14ac:dyDescent="0.25"/>
    <row r="15" spans="1:12" s="18" customFormat="1" x14ac:dyDescent="0.25"/>
    <row r="16" spans="1:12" s="18" customFormat="1" x14ac:dyDescent="0.25"/>
    <row r="17" s="18" customFormat="1" x14ac:dyDescent="0.25"/>
    <row r="18" s="18" customFormat="1" x14ac:dyDescent="0.25"/>
    <row r="19" s="18" customFormat="1" x14ac:dyDescent="0.25"/>
    <row r="20" s="18" customFormat="1" x14ac:dyDescent="0.25"/>
    <row r="21" s="18" customFormat="1" x14ac:dyDescent="0.25"/>
    <row r="22" s="18" customFormat="1" x14ac:dyDescent="0.25"/>
    <row r="23" s="18" customFormat="1" x14ac:dyDescent="0.25"/>
    <row r="24" s="18" customFormat="1" x14ac:dyDescent="0.25"/>
    <row r="25" s="18" customFormat="1" x14ac:dyDescent="0.25"/>
    <row r="26" s="18" customFormat="1" x14ac:dyDescent="0.25"/>
    <row r="27" s="18" customFormat="1" x14ac:dyDescent="0.25"/>
    <row r="28" s="18" customFormat="1" x14ac:dyDescent="0.25"/>
    <row r="29" s="18" customFormat="1" x14ac:dyDescent="0.25"/>
    <row r="30" s="18" customFormat="1" x14ac:dyDescent="0.25"/>
    <row r="31" s="18" customFormat="1" x14ac:dyDescent="0.25"/>
    <row r="32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</sheetData>
  <hyperlinks>
    <hyperlink ref="L3" location="Weisser2007" display="(Weisser, 2007)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BV203"/>
  <sheetViews>
    <sheetView topLeftCell="B1" zoomScaleNormal="100" workbookViewId="0">
      <pane xSplit="3" ySplit="2" topLeftCell="E3" activePane="bottomRight" state="frozen"/>
      <selection activeCell="B1" sqref="B1"/>
      <selection pane="topRight" activeCell="E1" sqref="E1"/>
      <selection pane="bottomLeft" activeCell="B3" sqref="B3"/>
      <selection pane="bottomRight" activeCell="I4" sqref="I4:I15"/>
    </sheetView>
  </sheetViews>
  <sheetFormatPr defaultRowHeight="15" x14ac:dyDescent="0.25"/>
  <cols>
    <col min="1" max="1" width="0.7109375" customWidth="1"/>
    <col min="2" max="3" width="0.85546875" customWidth="1"/>
    <col min="4" max="4" width="34.140625" customWidth="1"/>
    <col min="5" max="5" width="16.28515625" bestFit="1" customWidth="1"/>
    <col min="6" max="8" width="17.42578125" bestFit="1" customWidth="1"/>
    <col min="9" max="9" width="19" bestFit="1" customWidth="1"/>
    <col min="10" max="11" width="17.42578125" bestFit="1" customWidth="1"/>
    <col min="12" max="74" width="9.140625" style="18"/>
  </cols>
  <sheetData>
    <row r="1" spans="1:16" ht="19.5" thickBot="1" x14ac:dyDescent="0.35">
      <c r="A1" s="18"/>
      <c r="B1" s="18"/>
      <c r="C1" s="18"/>
      <c r="D1" s="158" t="s">
        <v>125</v>
      </c>
      <c r="E1" s="159"/>
      <c r="F1" s="159"/>
      <c r="G1" s="159"/>
      <c r="H1" s="159"/>
      <c r="I1" s="159"/>
      <c r="J1" s="159"/>
      <c r="K1" s="160"/>
      <c r="L1" s="163"/>
      <c r="M1" s="163"/>
      <c r="N1" s="163"/>
      <c r="O1" s="163"/>
      <c r="P1" s="163"/>
    </row>
    <row r="2" spans="1:16" ht="30" x14ac:dyDescent="0.25">
      <c r="A2" s="18"/>
      <c r="B2" s="18"/>
      <c r="C2" s="18"/>
      <c r="D2" s="44" t="s">
        <v>133</v>
      </c>
      <c r="E2" s="54" t="s">
        <v>127</v>
      </c>
      <c r="F2" s="54" t="s">
        <v>128</v>
      </c>
      <c r="G2" s="54" t="s">
        <v>129</v>
      </c>
      <c r="H2" s="54" t="s">
        <v>130</v>
      </c>
      <c r="I2" s="167" t="s">
        <v>284</v>
      </c>
      <c r="J2" s="54" t="s">
        <v>131</v>
      </c>
      <c r="K2" s="55" t="s">
        <v>126</v>
      </c>
      <c r="L2" s="163"/>
      <c r="M2" s="163"/>
      <c r="N2" s="163"/>
      <c r="O2" s="163"/>
      <c r="P2" s="163"/>
    </row>
    <row r="3" spans="1:16" x14ac:dyDescent="0.25">
      <c r="A3" s="18"/>
      <c r="B3" s="18"/>
      <c r="C3" s="18"/>
      <c r="D3" s="45" t="s">
        <v>168</v>
      </c>
      <c r="E3" s="119">
        <v>1000</v>
      </c>
      <c r="F3" s="119">
        <v>16333.179536843556</v>
      </c>
      <c r="G3" s="119">
        <v>41676.495670715485</v>
      </c>
      <c r="H3" s="119">
        <v>138640.96459139531</v>
      </c>
      <c r="I3" s="119">
        <v>138640.9124267578</v>
      </c>
      <c r="J3" s="117">
        <f>'Dashboard and Input Variables'!$B$11*'Dashboard and Input Variables'!$B$12*'Dashboard and Input Variables'!$B$13</f>
        <v>71100</v>
      </c>
      <c r="K3" s="118">
        <f>'Dashboard and Input Variables'!F$3</f>
        <v>71100</v>
      </c>
      <c r="L3" s="163"/>
      <c r="M3" s="163"/>
      <c r="N3" s="163"/>
      <c r="O3" s="163"/>
      <c r="P3" s="163"/>
    </row>
    <row r="4" spans="1:16" x14ac:dyDescent="0.25">
      <c r="A4" s="18"/>
      <c r="B4" s="18"/>
      <c r="C4" s="18"/>
      <c r="D4" s="45" t="s">
        <v>167</v>
      </c>
      <c r="E4" s="124">
        <f>E3/'Dashboard and Input Variables'!$B$11</f>
        <v>7.0323488045007029E-3</v>
      </c>
      <c r="F4" s="124">
        <f>F3/'Dashboard and Input Variables'!$B$11</f>
        <v>0.11486061558961713</v>
      </c>
      <c r="G4" s="124">
        <f>G3/'Dashboard and Input Variables'!$B$11</f>
        <v>0.29308365450573476</v>
      </c>
      <c r="H4" s="124">
        <f>H3/'Dashboard and Input Variables'!$B$11</f>
        <v>0.97497162159912321</v>
      </c>
      <c r="I4" s="124">
        <f>I3/'Dashboard and Input Variables'!$B$11</f>
        <v>0.97497125475919688</v>
      </c>
      <c r="J4" s="124">
        <f>J3/'Dashboard and Input Variables'!$B$11</f>
        <v>0.5</v>
      </c>
      <c r="K4" s="162">
        <f>K3/'Dashboard and Input Variables'!$B$11</f>
        <v>0.5</v>
      </c>
      <c r="L4" s="163"/>
      <c r="M4" s="163"/>
      <c r="N4" s="163"/>
      <c r="O4" s="163"/>
      <c r="P4" s="163"/>
    </row>
    <row r="5" spans="1:16" x14ac:dyDescent="0.25">
      <c r="A5" s="18"/>
      <c r="B5" s="18"/>
      <c r="C5" s="18"/>
      <c r="D5" s="45" t="s">
        <v>153</v>
      </c>
      <c r="E5" s="145">
        <f>E3*'Dashboard and Input Variables'!$B$23*'Dashboard and Input Variables'!$B$25*10^6/10^9</f>
        <v>5.8994999999999997</v>
      </c>
      <c r="F5" s="145">
        <f>F3*'Dashboard and Input Variables'!$B$23*'Dashboard and Input Variables'!$B$25*10^6/10^9</f>
        <v>96.357592677608551</v>
      </c>
      <c r="G5" s="145">
        <f>G3*'Dashboard and Input Variables'!$B$23*'Dashboard and Input Variables'!$B$25*10^6/10^9</f>
        <v>245.87048620938597</v>
      </c>
      <c r="H5" s="145">
        <f>H3*'Dashboard and Input Variables'!$B$23*'Dashboard and Input Variables'!$B$25*10^6/10^9</f>
        <v>817.91237060693663</v>
      </c>
      <c r="I5" s="145">
        <f>I3*'Dashboard and Input Variables'!$B$23*'Dashboard and Input Variables'!$B$25*10^6/10^9</f>
        <v>817.91206286165766</v>
      </c>
      <c r="J5" s="145">
        <f>J3*'Dashboard and Input Variables'!$B$23*'Dashboard and Input Variables'!$B$25*10^6/10^9</f>
        <v>419.45445000000001</v>
      </c>
      <c r="K5" s="146">
        <f>K3*'Dashboard and Input Variables'!$B$23*'Dashboard and Input Variables'!$B$25*10^6/10^9</f>
        <v>419.45445000000001</v>
      </c>
      <c r="L5" s="163"/>
      <c r="M5" s="163"/>
      <c r="N5" s="163"/>
      <c r="O5" s="163"/>
      <c r="P5" s="163"/>
    </row>
    <row r="6" spans="1:16" x14ac:dyDescent="0.25">
      <c r="A6" s="18"/>
      <c r="B6" s="18"/>
      <c r="C6" s="18"/>
      <c r="D6" s="45" t="s">
        <v>154</v>
      </c>
      <c r="E6" s="10">
        <f>SUMPRODUCT(E20:E29,$B$20:$B$29)*1000*'Dashboard and Input Variables'!$B$33*'Dashboard and Input Variables'!$B$35 /10^9</f>
        <v>6.8875630136986304E-2</v>
      </c>
      <c r="F6" s="10">
        <f>SUMPRODUCT(F20:F29,$B$20:$B$29)*1000*'Dashboard and Input Variables'!$B$33*'Dashboard and Input Variables'!$B$35 /10^9</f>
        <v>9.7109775768429625</v>
      </c>
      <c r="G6" s="10">
        <f>SUMPRODUCT(G20:G29,$B$20:$B$29)*1000*'Dashboard and Input Variables'!$B$33*'Dashboard and Input Variables'!$B$35 /10^9</f>
        <v>27.404910464701874</v>
      </c>
      <c r="H6" s="10">
        <f>SUMPRODUCT(H20:H29,$B$20:$B$29)*1000*'Dashboard and Input Variables'!$B$33*'Dashboard and Input Variables'!$B$35 /10^9</f>
        <v>97.287162360000011</v>
      </c>
      <c r="I6" s="10">
        <f>SUMPRODUCT(I20:I29,$B$20:$B$29)*1000*'Dashboard and Input Variables'!$B$33*'Dashboard and Input Variables'!$B$35 /10^9</f>
        <v>97.287162360000011</v>
      </c>
      <c r="J6" s="10">
        <f>SUMPRODUCT(J20:J29,$B$20:$B$29)*1000*'Dashboard and Input Variables'!$B$33*'Dashboard and Input Variables'!$B$35 /10^9</f>
        <v>47.947506712876717</v>
      </c>
      <c r="K6" s="50">
        <f>SUMPRODUCT(K20:K29,$B$20:$B$29)*1000*'Dashboard and Input Variables'!$B$33*'Dashboard and Input Variables'!$B$35 /10^9</f>
        <v>47.947506712876717</v>
      </c>
      <c r="L6" s="163"/>
      <c r="M6" s="163"/>
      <c r="N6" s="163"/>
      <c r="O6" s="163"/>
      <c r="P6" s="163"/>
    </row>
    <row r="7" spans="1:16" x14ac:dyDescent="0.25">
      <c r="A7" s="18"/>
      <c r="B7" s="18"/>
      <c r="C7" s="18"/>
      <c r="D7" s="45" t="s">
        <v>83</v>
      </c>
      <c r="E7" s="20">
        <f>E3*'Dashboard and Input Variables'!$B$23/1000</f>
        <v>3.45</v>
      </c>
      <c r="F7" s="20">
        <f>F3*'Dashboard and Input Variables'!$B$23/1000</f>
        <v>56.349469402110273</v>
      </c>
      <c r="G7" s="20">
        <f>G3*'Dashboard and Input Variables'!$B$23/1000</f>
        <v>143.78391006396842</v>
      </c>
      <c r="H7" s="20">
        <f>H3*'Dashboard and Input Variables'!$B$23/1000</f>
        <v>478.31132784031382</v>
      </c>
      <c r="I7" s="20">
        <f>I3*'Dashboard and Input Variables'!$B$23/1000</f>
        <v>478.31114787231445</v>
      </c>
      <c r="J7" s="20">
        <f>J3*'Dashboard and Input Variables'!$B$23/1000</f>
        <v>245.29499999999999</v>
      </c>
      <c r="K7" s="41">
        <f>K3*'Dashboard and Input Variables'!$B$23/1000</f>
        <v>245.29499999999999</v>
      </c>
      <c r="L7" s="163"/>
      <c r="M7" s="163"/>
      <c r="N7" s="163"/>
      <c r="O7" s="163"/>
      <c r="P7" s="163"/>
    </row>
    <row r="8" spans="1:16" x14ac:dyDescent="0.25">
      <c r="A8" s="18"/>
      <c r="B8" s="18"/>
      <c r="C8" s="18"/>
      <c r="D8" s="45" t="s">
        <v>82</v>
      </c>
      <c r="E8" s="20">
        <f>E7*'Dashboard and Input Variables'!$B$24</f>
        <v>0.58650000000000002</v>
      </c>
      <c r="F8" s="20">
        <f>F7*'Dashboard and Input Variables'!$B$24</f>
        <v>9.5794097983587463</v>
      </c>
      <c r="G8" s="20">
        <f>G7*'Dashboard and Input Variables'!$B$24</f>
        <v>24.443264710874633</v>
      </c>
      <c r="H8" s="20">
        <f>H7*'Dashboard and Input Variables'!$B$24</f>
        <v>81.312925732853358</v>
      </c>
      <c r="I8" s="20">
        <f>I7*'Dashboard and Input Variables'!$B$24</f>
        <v>81.312895138293456</v>
      </c>
      <c r="J8" s="20">
        <f>J7*'Dashboard and Input Variables'!$B$24</f>
        <v>41.700150000000001</v>
      </c>
      <c r="K8" s="41">
        <f>K7*'Dashboard and Input Variables'!$B$24</f>
        <v>41.700150000000001</v>
      </c>
      <c r="M8" s="18" t="s">
        <v>281</v>
      </c>
    </row>
    <row r="9" spans="1:16" x14ac:dyDescent="0.25">
      <c r="A9" s="18"/>
      <c r="B9" s="18"/>
      <c r="C9" s="18"/>
      <c r="D9" s="45" t="s">
        <v>90</v>
      </c>
      <c r="E9" s="10">
        <f>E8*'Dashboard and Input Variables'!$B$28</f>
        <v>5.3432496000000003E-2</v>
      </c>
      <c r="F9" s="10">
        <f>F8*'Dashboard and Input Variables'!$B$28</f>
        <v>0.87272255026967527</v>
      </c>
      <c r="G9" s="10">
        <f>G8*'Dashboard and Input Variables'!$B$28</f>
        <v>2.2268791882195225</v>
      </c>
      <c r="H9" s="10">
        <f>H8*'Dashboard and Input Variables'!$B$28</f>
        <v>7.4079327859658726</v>
      </c>
      <c r="I9" s="10">
        <f>I8*'Dashboard and Input Variables'!$B$28</f>
        <v>7.4079299986790872</v>
      </c>
      <c r="J9" s="10">
        <f>J8*'Dashboard and Input Variables'!$B$28</f>
        <v>3.7990504656000001</v>
      </c>
      <c r="K9" s="50">
        <f>K8*'Dashboard and Input Variables'!$B$28</f>
        <v>3.7990504656000001</v>
      </c>
      <c r="M9" s="18" t="s">
        <v>282</v>
      </c>
    </row>
    <row r="10" spans="1:16" x14ac:dyDescent="0.25">
      <c r="A10" s="18"/>
      <c r="B10" s="18"/>
      <c r="C10" s="18"/>
      <c r="D10" s="45" t="s">
        <v>88</v>
      </c>
      <c r="E10" s="117">
        <f t="shared" ref="E10:K10" si="0">SUMPRODUCT($A$20:$A$29,E20:E29)-E9</f>
        <v>3.3643568163287672</v>
      </c>
      <c r="F10" s="117">
        <f>SUMPRODUCT($A$20:$A$29,F20:F29)-F9</f>
        <v>47.899063298630153</v>
      </c>
      <c r="G10" s="117">
        <f t="shared" ref="G10" si="1">SUMPRODUCT($A$20:$A$29,G20:G29)-G9</f>
        <v>116.55366329863014</v>
      </c>
      <c r="H10" s="117">
        <f t="shared" si="0"/>
        <v>330.13443621403411</v>
      </c>
      <c r="I10" s="117">
        <f t="shared" si="0"/>
        <v>330.13443900132091</v>
      </c>
      <c r="J10" s="117">
        <f t="shared" si="0"/>
        <v>196.26142173303012</v>
      </c>
      <c r="K10" s="118">
        <f t="shared" si="0"/>
        <v>196.26142173303012</v>
      </c>
      <c r="M10" s="18" t="s">
        <v>283</v>
      </c>
    </row>
    <row r="11" spans="1:16" x14ac:dyDescent="0.25">
      <c r="A11" s="18"/>
      <c r="B11" s="18"/>
      <c r="C11" s="18"/>
      <c r="D11" s="45" t="s">
        <v>78</v>
      </c>
      <c r="E11" s="51">
        <f>E10/'Dashboard and Input Variables'!$B$16</f>
        <v>7.0253051555943538E-2</v>
      </c>
      <c r="F11" s="51">
        <f>F10/'Dashboard and Input Variables'!$B$16</f>
        <v>1.0002076316839847</v>
      </c>
      <c r="G11" s="51">
        <f>G10/'Dashboard and Input Variables'!$B$16</f>
        <v>2.4338234508930241</v>
      </c>
      <c r="H11" s="51">
        <f>H10/'Dashboard and Input Variables'!$B$16</f>
        <v>6.8937252598092025</v>
      </c>
      <c r="I11" s="51">
        <f>I10/'Dashboard and Input Variables'!$B$16</f>
        <v>6.8937253180121258</v>
      </c>
      <c r="J11" s="51">
        <f>J10/'Dashboard and Input Variables'!$B$16</f>
        <v>4.098246569012546</v>
      </c>
      <c r="K11" s="52">
        <f>K10/'Dashboard and Input Variables'!$B$16</f>
        <v>4.098246569012546</v>
      </c>
    </row>
    <row r="12" spans="1:16" x14ac:dyDescent="0.25">
      <c r="A12" s="18"/>
      <c r="B12" s="18"/>
      <c r="C12" s="18"/>
      <c r="D12" s="45" t="s">
        <v>79</v>
      </c>
      <c r="E12" s="51">
        <f>E10/'Dashboard and Input Variables'!$B$14</f>
        <v>2.8867765816371457E-2</v>
      </c>
      <c r="F12" s="51">
        <f>F10/'Dashboard and Input Variables'!$B$14</f>
        <v>0.41099651957763272</v>
      </c>
      <c r="G12" s="51">
        <f>G10/'Dashboard and Input Variables'!$B$14</f>
        <v>1.0000853181847131</v>
      </c>
      <c r="H12" s="51">
        <f>H10/'Dashboard and Input Variables'!$B$14</f>
        <v>2.8327089285809142</v>
      </c>
      <c r="I12" s="51">
        <f>I10/'Dashboard and Input Variables'!$B$14</f>
        <v>2.8327089524971476</v>
      </c>
      <c r="J12" s="51">
        <f>J10/'Dashboard and Input Variables'!$B$14</f>
        <v>1.6840154212773548</v>
      </c>
      <c r="K12" s="52">
        <f>K10/'Dashboard and Input Variables'!$B$14</f>
        <v>1.6840154212773548</v>
      </c>
    </row>
    <row r="13" spans="1:16" x14ac:dyDescent="0.25">
      <c r="A13" s="18"/>
      <c r="B13" s="18"/>
      <c r="C13" s="18"/>
      <c r="D13" s="45" t="s">
        <v>80</v>
      </c>
      <c r="E13" s="51">
        <f>E10/'Dashboard and Input Variables'!$B$15</f>
        <v>8.945892176548207E-3</v>
      </c>
      <c r="F13" s="51">
        <f>F10/'Dashboard and Input Variables'!$B$15</f>
        <v>0.1273645689266657</v>
      </c>
      <c r="G13" s="51">
        <f>G10/'Dashboard and Input Variables'!$B$15</f>
        <v>0.30991852576119805</v>
      </c>
      <c r="H13" s="161">
        <f>H10/'Dashboard and Input Variables'!$B$15</f>
        <v>0.87783407984620787</v>
      </c>
      <c r="I13" s="161">
        <f>I10/'Dashboard and Input Variables'!$B$15</f>
        <v>0.87783408725765932</v>
      </c>
      <c r="J13" s="51">
        <f>J10/'Dashboard and Input Variables'!$B$15</f>
        <v>0.52186305231310848</v>
      </c>
      <c r="K13" s="52">
        <f>K10/'Dashboard and Input Variables'!$B$15</f>
        <v>0.52186305231310848</v>
      </c>
    </row>
    <row r="14" spans="1:16" x14ac:dyDescent="0.25">
      <c r="A14" s="18"/>
      <c r="B14" s="18"/>
      <c r="C14" s="18"/>
      <c r="D14" s="45" t="s">
        <v>169</v>
      </c>
      <c r="E14" s="51">
        <f>E8/VLOOKUP("Alberta",Table1[[Region]:[Electricity Generation''s GHG Emissions (MT CO2 eq/GW)]],5,FALSE)</f>
        <v>6.4450549450549455E-2</v>
      </c>
      <c r="F14" s="51">
        <f>F8/VLOOKUP("Alberta",Table1[[Region]:[Electricity Generation''s GHG Emissions (MT CO2 eq/GW)]],5,FALSE)</f>
        <v>1.0526823954240381</v>
      </c>
      <c r="G14" s="51">
        <f>G8/VLOOKUP("Alberta",Table1[[Region]:[Electricity Generation''s GHG Emissions (MT CO2 eq/GW)]],5,FALSE)</f>
        <v>2.6860730451510588</v>
      </c>
      <c r="H14" s="51">
        <f>H8/VLOOKUP("Alberta",Table1[[Region]:[Electricity Generation''s GHG Emissions (MT CO2 eq/GW)]],5,FALSE)</f>
        <v>8.9354863442696004</v>
      </c>
      <c r="I14" s="51">
        <f>I8/VLOOKUP("Alberta",Table1[[Region]:[Electricity Generation''s GHG Emissions (MT CO2 eq/GW)]],5,FALSE)</f>
        <v>8.9354829822300506</v>
      </c>
      <c r="J14" s="51">
        <f>J8/VLOOKUP("Alberta",Table1[[Region]:[Electricity Generation''s GHG Emissions (MT CO2 eq/GW)]],5,FALSE)</f>
        <v>4.5824340659340663</v>
      </c>
      <c r="K14" s="52">
        <f>K8/VLOOKUP("Alberta",Table1[[Region]:[Electricity Generation''s GHG Emissions (MT CO2 eq/GW)]],5,FALSE)</f>
        <v>4.5824340659340663</v>
      </c>
    </row>
    <row r="15" spans="1:16" x14ac:dyDescent="0.25">
      <c r="A15" s="18"/>
      <c r="B15" s="18"/>
      <c r="C15" s="18"/>
      <c r="D15" s="45" t="s">
        <v>170</v>
      </c>
      <c r="E15" s="51">
        <f>E8/VLOOKUP("Canada (excluding Alberta)",Table1[[Region]:[Electricity Generation''s GHG Emissions (MT CO2 eq/GW)]],5,FALSE)</f>
        <v>1.1568047337278106E-2</v>
      </c>
      <c r="F15" s="51">
        <f>F8/VLOOKUP("Canada (excluding Alberta)",Table1[[Region]:[Electricity Generation''s GHG Emissions (MT CO2 eq/GW)]],5,FALSE)</f>
        <v>0.18894299405046835</v>
      </c>
      <c r="G15" s="51">
        <f>G8/VLOOKUP("Canada (excluding Alberta)",Table1[[Region]:[Electricity Generation''s GHG Emissions (MT CO2 eq/GW)]],5,FALSE)</f>
        <v>0.48211567477070277</v>
      </c>
      <c r="H15" s="51">
        <f>H8/VLOOKUP("Canada (excluding Alberta)",Table1[[Region]:[Electricity Generation''s GHG Emissions (MT CO2 eq/GW)]],5,FALSE)</f>
        <v>1.6038052412791588</v>
      </c>
      <c r="I15" s="51">
        <f>I8/VLOOKUP("Canada (excluding Alberta)",Table1[[Region]:[Electricity Generation''s GHG Emissions (MT CO2 eq/GW)]],5,FALSE)</f>
        <v>1.6038046378361628</v>
      </c>
      <c r="J15" s="51">
        <f>J8/VLOOKUP("Canada (excluding Alberta)",Table1[[Region]:[Electricity Generation''s GHG Emissions (MT CO2 eq/GW)]],5,FALSE)</f>
        <v>0.82248816568047334</v>
      </c>
      <c r="K15" s="52">
        <f>K8/VLOOKUP("Canada (excluding Alberta)",Table1[[Region]:[Electricity Generation''s GHG Emissions (MT CO2 eq/GW)]],5,FALSE)</f>
        <v>0.82248816568047334</v>
      </c>
    </row>
    <row r="16" spans="1:16" ht="15.75" thickBot="1" x14ac:dyDescent="0.3">
      <c r="A16" s="18"/>
      <c r="B16" s="18"/>
      <c r="C16" s="18"/>
      <c r="D16" s="53" t="s">
        <v>92</v>
      </c>
      <c r="E16" s="26" t="str">
        <f t="shared" ref="E16:K16" si="2">IF(SUM(E19:E29)&lt;E8,"N","Y")</f>
        <v>Y</v>
      </c>
      <c r="F16" s="26" t="str">
        <f t="shared" si="2"/>
        <v>Y</v>
      </c>
      <c r="G16" s="26" t="str">
        <f t="shared" si="2"/>
        <v>Y</v>
      </c>
      <c r="H16" s="26" t="str">
        <f t="shared" si="2"/>
        <v>N</v>
      </c>
      <c r="I16" s="26" t="str">
        <f>IF(SUM(I19:I29)&lt;I8,"N","Y")</f>
        <v>N</v>
      </c>
      <c r="J16" s="26" t="str">
        <f>IF(SUM(J19:J29)&lt;J8,"N","Y")</f>
        <v>Y</v>
      </c>
      <c r="K16" s="27" t="str">
        <f t="shared" si="2"/>
        <v>Y</v>
      </c>
    </row>
    <row r="17" spans="1:11" ht="15.75" thickBot="1" x14ac:dyDescent="0.3">
      <c r="A17" s="18"/>
      <c r="B17" s="18"/>
      <c r="C17" s="18"/>
      <c r="D17" s="18"/>
      <c r="E17" s="18"/>
      <c r="F17" s="123">
        <f>SUM(F19:F29)/F8</f>
        <v>1</v>
      </c>
      <c r="G17" s="123">
        <f>SUM(G19:G29)/G8</f>
        <v>1</v>
      </c>
      <c r="H17" s="123">
        <f>SUM(H19:H29)/H8</f>
        <v>0.99993328465846676</v>
      </c>
      <c r="I17" s="123">
        <f>SUM(I19:I29)/I8</f>
        <v>0.99993366089053581</v>
      </c>
      <c r="J17" s="18"/>
      <c r="K17" s="18"/>
    </row>
    <row r="18" spans="1:11" ht="19.5" thickBot="1" x14ac:dyDescent="0.35">
      <c r="A18" s="18"/>
      <c r="B18" s="18"/>
      <c r="C18" s="18"/>
      <c r="D18" s="81" t="s">
        <v>132</v>
      </c>
      <c r="E18" s="82"/>
      <c r="F18" s="82"/>
      <c r="G18" s="82"/>
      <c r="H18" s="82"/>
      <c r="I18" s="82"/>
      <c r="J18" s="82"/>
      <c r="K18" s="83"/>
    </row>
    <row r="19" spans="1:11" ht="15" customHeight="1" x14ac:dyDescent="0.25">
      <c r="A19" s="36" t="s">
        <v>86</v>
      </c>
      <c r="B19" s="37" t="s">
        <v>91</v>
      </c>
      <c r="C19" s="37" t="s">
        <v>85</v>
      </c>
      <c r="D19" s="36" t="s">
        <v>84</v>
      </c>
      <c r="E19" s="38" t="s">
        <v>87</v>
      </c>
      <c r="F19" s="38" t="s">
        <v>87</v>
      </c>
      <c r="G19" s="38" t="s">
        <v>87</v>
      </c>
      <c r="H19" s="38" t="s">
        <v>87</v>
      </c>
      <c r="I19" s="38" t="s">
        <v>87</v>
      </c>
      <c r="J19" s="38" t="s">
        <v>87</v>
      </c>
      <c r="K19" s="39" t="s">
        <v>87</v>
      </c>
    </row>
    <row r="20" spans="1:11" x14ac:dyDescent="0.25">
      <c r="A20" s="40">
        <f>'Grid Sizes, Locations, and GHGs'!K5</f>
        <v>2.8907999999999996</v>
      </c>
      <c r="B20" s="9">
        <f>'Grid Sizes, Locations, and GHGs'!D5</f>
        <v>0</v>
      </c>
      <c r="C20" s="20">
        <f>'Grid Sizes, Locations, and GHGs'!H5</f>
        <v>0.21620091324200919</v>
      </c>
      <c r="D20" s="61" t="str">
        <f>'Grid Sizes, Locations, and GHGs'!A5</f>
        <v>Onsite Usage Via Cogen</v>
      </c>
      <c r="E20" s="20">
        <f>MIN($C20,E$8-SUM(E$19:E19))</f>
        <v>0.21620091324200919</v>
      </c>
      <c r="F20" s="20">
        <f>MIN($C20,F$8-SUM(F$19:F19))</f>
        <v>0.21620091324200919</v>
      </c>
      <c r="G20" s="20">
        <f>MIN($C20,G$8-SUM(G$19:G19))</f>
        <v>0.21620091324200919</v>
      </c>
      <c r="H20" s="20">
        <f>MIN($C20,H$8-SUM(H$19:H19))</f>
        <v>0.21620091324200919</v>
      </c>
      <c r="I20" s="20">
        <f>MIN($C20,I$8-SUM(I$19:I19))</f>
        <v>0.21620091324200919</v>
      </c>
      <c r="J20" s="20">
        <f>MIN($C20,J$8-SUM(J$19:J19))</f>
        <v>0.21620091324200919</v>
      </c>
      <c r="K20" s="41">
        <f>MIN($C20,K$8-SUM(K$19:K19))</f>
        <v>0.21620091324200919</v>
      </c>
    </row>
    <row r="21" spans="1:11" x14ac:dyDescent="0.25">
      <c r="A21" s="40">
        <f>'Grid Sizes, Locations, and GHGs'!K6</f>
        <v>7.5419999999999998</v>
      </c>
      <c r="B21" s="9">
        <f>'Grid Sizes, Locations, and GHGs'!D6</f>
        <v>0</v>
      </c>
      <c r="C21" s="20">
        <f>'Grid Sizes, Locations, and GHGs'!H6</f>
        <v>0</v>
      </c>
      <c r="D21" s="61" t="str">
        <f>'Grid Sizes, Locations, and GHGs'!A6</f>
        <v>Onsite Usage Electric Assist Indirect</v>
      </c>
      <c r="E21" s="20">
        <f>MIN($C21,E$8-SUM(E$19:E20))</f>
        <v>0</v>
      </c>
      <c r="F21" s="20">
        <f>MIN($C21,F$8-SUM(F$19:F20))</f>
        <v>0</v>
      </c>
      <c r="G21" s="20">
        <f>MIN($C21,G$8-SUM(G$19:G20))</f>
        <v>0</v>
      </c>
      <c r="H21" s="20">
        <f>MIN($C21,H$8-SUM(H$19:H20))</f>
        <v>0</v>
      </c>
      <c r="I21" s="20">
        <f>MIN($C21,I$8-SUM(I$19:I20))</f>
        <v>0</v>
      </c>
      <c r="J21" s="20">
        <f>MIN($C21,J$8-SUM(J$19:J20))</f>
        <v>0</v>
      </c>
      <c r="K21" s="41">
        <f>MIN($C21,K$8-SUM(K$19:K20))</f>
        <v>0</v>
      </c>
    </row>
    <row r="22" spans="1:11" x14ac:dyDescent="0.25">
      <c r="A22" s="40">
        <f>'Grid Sizes, Locations, and GHGs'!K7</f>
        <v>2.1680999999999999</v>
      </c>
      <c r="B22" s="9">
        <f>'Grid Sizes, Locations, and GHGs'!D7</f>
        <v>0</v>
      </c>
      <c r="C22" s="20">
        <f>'Grid Sizes, Locations, and GHGs'!H7</f>
        <v>0</v>
      </c>
      <c r="D22" s="61" t="str">
        <f>'Grid Sizes, Locations, and GHGs'!A7</f>
        <v>Onsite Usage Electric Assist Direct</v>
      </c>
      <c r="E22" s="20">
        <f>MIN($C22,E$8-SUM(E$19:E21))</f>
        <v>0</v>
      </c>
      <c r="F22" s="20">
        <f>MIN($C22,F$8-SUM(F$19:F21))</f>
        <v>0</v>
      </c>
      <c r="G22" s="20">
        <f>MIN($C22,G$8-SUM(G$19:G21))</f>
        <v>0</v>
      </c>
      <c r="H22" s="20">
        <f>MIN($C22,H$8-SUM(H$19:H21))</f>
        <v>0</v>
      </c>
      <c r="I22" s="20">
        <f>MIN($C22,I$8-SUM(I$19:I21))</f>
        <v>0</v>
      </c>
      <c r="J22" s="20">
        <f>MIN($C22,J$8-SUM(J$19:J21))</f>
        <v>0</v>
      </c>
      <c r="K22" s="41">
        <f>MIN($C22,K$8-SUM(K$19:K21))</f>
        <v>0</v>
      </c>
    </row>
    <row r="23" spans="1:11" x14ac:dyDescent="0.25">
      <c r="A23" s="40">
        <f>'Grid Sizes, Locations, and GHGs'!K8</f>
        <v>7.5419999999999998</v>
      </c>
      <c r="B23" s="9">
        <f>'Grid Sizes, Locations, and GHGs'!D8</f>
        <v>500</v>
      </c>
      <c r="C23" s="20">
        <f>'Grid Sizes, Locations, and GHGs'!H8</f>
        <v>1.4287000000000003</v>
      </c>
      <c r="D23" s="61" t="str">
        <f>'Grid Sizes, Locations, and GHGs'!A8</f>
        <v>Alberta</v>
      </c>
      <c r="E23" s="20">
        <f>MIN($C23,E$8-SUM(E$19:E22))</f>
        <v>0.37029908675799084</v>
      </c>
      <c r="F23" s="20">
        <f>MIN($C23,F$8-SUM(F$19:F22))</f>
        <v>1.4287000000000003</v>
      </c>
      <c r="G23" s="20">
        <f>MIN($C23,G$8-SUM(G$19:G22))</f>
        <v>1.4287000000000003</v>
      </c>
      <c r="H23" s="20">
        <f>MIN($C23,H$8-SUM(H$19:H22))</f>
        <v>1.4287000000000003</v>
      </c>
      <c r="I23" s="20">
        <f>MIN($C23,I$8-SUM(I$19:I22))</f>
        <v>1.4287000000000003</v>
      </c>
      <c r="J23" s="20">
        <f>MIN($C23,J$8-SUM(J$19:J22))</f>
        <v>1.4287000000000003</v>
      </c>
      <c r="K23" s="41">
        <f>MIN($C23,K$8-SUM(K$19:K22))</f>
        <v>1.4287000000000003</v>
      </c>
    </row>
    <row r="24" spans="1:11" x14ac:dyDescent="0.25">
      <c r="A24" s="40">
        <f>'Grid Sizes, Locations, and GHGs'!K9</f>
        <v>4.71</v>
      </c>
      <c r="B24" s="9">
        <f>'Grid Sizes, Locations, and GHGs'!D9</f>
        <v>3200</v>
      </c>
      <c r="C24" s="20">
        <f>'Grid Sizes, Locations, and GHGs'!H9</f>
        <v>66.249000000000009</v>
      </c>
      <c r="D24" s="61" t="str">
        <f>'Grid Sizes, Locations, and GHGs'!A9</f>
        <v>USA (excluding California)</v>
      </c>
      <c r="E24" s="20">
        <f>MIN($C24,E$8-SUM(E$19:E23))</f>
        <v>0</v>
      </c>
      <c r="F24" s="20">
        <f>MIN($C24,F$8-SUM(F$19:F23))</f>
        <v>7.9345088851167365</v>
      </c>
      <c r="G24" s="20">
        <f>MIN($C24,G$8-SUM(G$19:G23))</f>
        <v>22.798363797632625</v>
      </c>
      <c r="H24" s="20">
        <f>MIN($C24,H$8-SUM(H$19:H23))</f>
        <v>66.249000000000009</v>
      </c>
      <c r="I24" s="20">
        <f>MIN($C24,I$8-SUM(I$19:I23))</f>
        <v>66.249000000000009</v>
      </c>
      <c r="J24" s="20">
        <f>MIN($C24,J$8-SUM(J$19:J23))</f>
        <v>40.055249086757989</v>
      </c>
      <c r="K24" s="41">
        <f>MIN($C24,K$8-SUM(K$19:K23))</f>
        <v>40.055249086757989</v>
      </c>
    </row>
    <row r="25" spans="1:11" x14ac:dyDescent="0.25">
      <c r="A25" s="40">
        <f>'Grid Sizes, Locations, and GHGs'!K10</f>
        <v>2.8</v>
      </c>
      <c r="B25" s="9">
        <f>'Grid Sizes, Locations, and GHGs'!D10</f>
        <v>2800</v>
      </c>
      <c r="C25" s="20">
        <f>'Grid Sizes, Locations, and GHGs'!H10</f>
        <v>4.0341000000000005</v>
      </c>
      <c r="D25" s="61" t="str">
        <f>'Grid Sizes, Locations, and GHGs'!A10</f>
        <v>California</v>
      </c>
      <c r="E25" s="20">
        <f>MIN($C25,E$8-SUM(E$19:E24))</f>
        <v>0</v>
      </c>
      <c r="F25" s="20">
        <f>MIN($C25,F$8-SUM(F$19:F24))</f>
        <v>0</v>
      </c>
      <c r="G25" s="20">
        <f>MIN($C25,G$8-SUM(G$19:G24))</f>
        <v>0</v>
      </c>
      <c r="H25" s="20">
        <f>MIN($C25,H$8-SUM(H$19:H24))</f>
        <v>4.0341000000000005</v>
      </c>
      <c r="I25" s="20">
        <f>MIN($C25,I$8-SUM(I$19:I24))</f>
        <v>4.0341000000000005</v>
      </c>
      <c r="J25" s="20">
        <f>MIN($C25,J$8-SUM(J$19:J24))</f>
        <v>0</v>
      </c>
      <c r="K25" s="41">
        <f>MIN($C25,K$8-SUM(K$19:K24))</f>
        <v>0</v>
      </c>
    </row>
    <row r="26" spans="1:11" x14ac:dyDescent="0.25">
      <c r="A26" s="40">
        <f>'Grid Sizes, Locations, and GHGs'!K11</f>
        <v>0.3</v>
      </c>
      <c r="B26" s="9">
        <f>'Grid Sizes, Locations, and GHGs'!D11</f>
        <v>4000</v>
      </c>
      <c r="C26" s="20">
        <f>'Grid Sizes, Locations, and GHGs'!H11</f>
        <v>9.3795000000000002</v>
      </c>
      <c r="D26" s="61" t="str">
        <f>'Grid Sizes, Locations, and GHGs'!A11</f>
        <v>Canada (excluding Alberta)</v>
      </c>
      <c r="E26" s="20">
        <f>MIN($C26,E$8-SUM(E$19:E25))</f>
        <v>0</v>
      </c>
      <c r="F26" s="20">
        <f>MIN($C26,F$8-SUM(F$19:F25))</f>
        <v>0</v>
      </c>
      <c r="G26" s="20">
        <f>MIN($C26,G$8-SUM(G$19:G25))</f>
        <v>0</v>
      </c>
      <c r="H26" s="20">
        <f>MIN($C26,H$8-SUM(H$19:H25))</f>
        <v>9.3795000000000002</v>
      </c>
      <c r="I26" s="20">
        <f>MIN($C26,I$8-SUM(I$19:I25))</f>
        <v>9.3795000000000002</v>
      </c>
      <c r="J26" s="20">
        <f>MIN($C26,J$8-SUM(J$19:J25))</f>
        <v>0</v>
      </c>
      <c r="K26" s="41">
        <f>MIN($C26,K$8-SUM(K$19:K25))</f>
        <v>0</v>
      </c>
    </row>
    <row r="27" spans="1:11" x14ac:dyDescent="0.25">
      <c r="A27" s="40">
        <f>'Grid Sizes, Locations, and GHGs'!K12</f>
        <v>0</v>
      </c>
      <c r="B27" s="9">
        <f>'Grid Sizes, Locations, and GHGs'!D12</f>
        <v>0</v>
      </c>
      <c r="C27" s="20">
        <f>'Grid Sizes, Locations, and GHGs'!H12</f>
        <v>0</v>
      </c>
      <c r="D27" s="61" t="str">
        <f>'Grid Sizes, Locations, and GHGs'!A12</f>
        <v>unused</v>
      </c>
      <c r="E27" s="20">
        <f>MIN($C27,E$8-SUM(E$19:E26))</f>
        <v>0</v>
      </c>
      <c r="F27" s="20">
        <f>MIN($C27,F$8-SUM(F$19:F26))</f>
        <v>0</v>
      </c>
      <c r="G27" s="20">
        <f>MIN($C27,G$8-SUM(G$19:G26))</f>
        <v>0</v>
      </c>
      <c r="H27" s="20">
        <f>MIN($C27,H$8-SUM(H$19:H26))</f>
        <v>0</v>
      </c>
      <c r="I27" s="20">
        <f>MIN($C27,I$8-SUM(I$19:I26))</f>
        <v>0</v>
      </c>
      <c r="J27" s="20">
        <f>MIN($C27,J$8-SUM(J$19:J26))</f>
        <v>0</v>
      </c>
      <c r="K27" s="41">
        <f>MIN($C27,K$8-SUM(K$19:K26))</f>
        <v>0</v>
      </c>
    </row>
    <row r="28" spans="1:11" x14ac:dyDescent="0.25">
      <c r="A28" s="40">
        <f>'Grid Sizes, Locations, and GHGs'!K13</f>
        <v>0</v>
      </c>
      <c r="B28" s="9">
        <f>'Grid Sizes, Locations, and GHGs'!D13</f>
        <v>0</v>
      </c>
      <c r="C28" s="20">
        <f>'Grid Sizes, Locations, and GHGs'!H13</f>
        <v>0</v>
      </c>
      <c r="D28" s="61" t="str">
        <f>'Grid Sizes, Locations, and GHGs'!A13</f>
        <v>unused</v>
      </c>
      <c r="E28" s="20">
        <f>MIN($C28,E$8-SUM(E$19:E27))</f>
        <v>0</v>
      </c>
      <c r="F28" s="20">
        <f>MIN($C28,F$8-SUM(F$19:F27))</f>
        <v>0</v>
      </c>
      <c r="G28" s="20">
        <f>MIN($C28,G$8-SUM(G$19:G27))</f>
        <v>0</v>
      </c>
      <c r="H28" s="20">
        <f>MIN($C28,H$8-SUM(H$19:H27))</f>
        <v>0</v>
      </c>
      <c r="I28" s="20">
        <f>MIN($C28,I$8-SUM(I$19:I27))</f>
        <v>0</v>
      </c>
      <c r="J28" s="20">
        <f>MIN($C28,J$8-SUM(J$19:J27))</f>
        <v>0</v>
      </c>
      <c r="K28" s="41">
        <f>MIN($C28,K$8-SUM(K$19:K27))</f>
        <v>0</v>
      </c>
    </row>
    <row r="29" spans="1:11" ht="15.75" thickBot="1" x14ac:dyDescent="0.3">
      <c r="A29" s="42">
        <f>'Grid Sizes, Locations, and GHGs'!K14</f>
        <v>0</v>
      </c>
      <c r="B29" s="26">
        <f>'Grid Sizes, Locations, and GHGs'!D14</f>
        <v>0</v>
      </c>
      <c r="C29" s="30">
        <f>'Grid Sizes, Locations, and GHGs'!H14</f>
        <v>0</v>
      </c>
      <c r="D29" s="28" t="str">
        <f>'Grid Sizes, Locations, and GHGs'!A14</f>
        <v>unused</v>
      </c>
      <c r="E29" s="30">
        <f>MIN($C29,E$8-SUM(E$19:E28))</f>
        <v>0</v>
      </c>
      <c r="F29" s="30">
        <f>MIN($C29,F$8-SUM(F$19:F28))</f>
        <v>0</v>
      </c>
      <c r="G29" s="30">
        <f>MIN($C29,G$8-SUM(G$19:G28))</f>
        <v>0</v>
      </c>
      <c r="H29" s="30">
        <f>MIN($C29,H$8-SUM(H$19:H28))</f>
        <v>0</v>
      </c>
      <c r="I29" s="30">
        <f>MIN($C29,I$8-SUM(I$19:I28))</f>
        <v>0</v>
      </c>
      <c r="J29" s="30">
        <f>MIN($C29,J$8-SUM(J$19:J28))</f>
        <v>0</v>
      </c>
      <c r="K29" s="43">
        <f>MIN($C29,K$8-SUM(K$19:K28))</f>
        <v>0</v>
      </c>
    </row>
    <row r="30" spans="1:11" s="18" customFormat="1" x14ac:dyDescent="0.25">
      <c r="C30" s="91"/>
      <c r="D30" s="92"/>
      <c r="E30" s="91"/>
      <c r="F30" s="91"/>
      <c r="G30" s="91"/>
      <c r="H30" s="91"/>
      <c r="I30" s="91"/>
      <c r="J30" s="91"/>
    </row>
    <row r="31" spans="1:11" s="18" customFormat="1" x14ac:dyDescent="0.25">
      <c r="C31" s="91"/>
      <c r="D31" s="92"/>
      <c r="E31" s="91"/>
      <c r="F31" s="91"/>
      <c r="G31" s="91"/>
      <c r="H31" s="91"/>
      <c r="I31" s="91"/>
      <c r="J31" s="91"/>
    </row>
    <row r="32" spans="1:11" s="18" customFormat="1" x14ac:dyDescent="0.25">
      <c r="C32" s="91"/>
      <c r="D32" s="92"/>
      <c r="E32" s="91"/>
      <c r="F32" s="91"/>
      <c r="G32" s="91"/>
      <c r="H32" s="91"/>
      <c r="I32" s="91"/>
      <c r="J32" s="91"/>
    </row>
    <row r="33" spans="3:10" s="18" customFormat="1" x14ac:dyDescent="0.25">
      <c r="C33" s="91"/>
      <c r="D33" s="92"/>
      <c r="E33" s="91"/>
      <c r="F33" s="91"/>
      <c r="G33" s="91"/>
      <c r="H33" s="91"/>
      <c r="I33" s="91"/>
      <c r="J33" s="91"/>
    </row>
    <row r="34" spans="3:10" s="18" customFormat="1" x14ac:dyDescent="0.25">
      <c r="C34" s="91"/>
      <c r="D34" s="92"/>
      <c r="E34" s="91"/>
      <c r="F34" s="91"/>
      <c r="G34" s="91"/>
      <c r="H34" s="91"/>
      <c r="I34" s="91"/>
      <c r="J34" s="91"/>
    </row>
    <row r="35" spans="3:10" s="18" customFormat="1" x14ac:dyDescent="0.25">
      <c r="C35" s="91"/>
      <c r="D35" s="92"/>
      <c r="E35" s="91"/>
      <c r="F35" s="91"/>
      <c r="G35" s="91"/>
      <c r="H35" s="91"/>
      <c r="I35" s="91"/>
      <c r="J35" s="91"/>
    </row>
    <row r="36" spans="3:10" s="18" customFormat="1" x14ac:dyDescent="0.25">
      <c r="C36" s="91"/>
      <c r="D36" s="92"/>
      <c r="E36" s="91"/>
      <c r="F36" s="91"/>
      <c r="G36" s="91"/>
      <c r="H36" s="91"/>
      <c r="I36" s="91"/>
      <c r="J36" s="91"/>
    </row>
    <row r="37" spans="3:10" s="18" customFormat="1" x14ac:dyDescent="0.25"/>
    <row r="38" spans="3:10" s="18" customFormat="1" x14ac:dyDescent="0.25"/>
    <row r="39" spans="3:10" s="18" customFormat="1" x14ac:dyDescent="0.25"/>
    <row r="40" spans="3:10" s="18" customFormat="1" x14ac:dyDescent="0.25"/>
    <row r="41" spans="3:10" s="18" customFormat="1" x14ac:dyDescent="0.25"/>
    <row r="42" spans="3:10" s="18" customFormat="1" x14ac:dyDescent="0.25"/>
    <row r="43" spans="3:10" s="18" customFormat="1" x14ac:dyDescent="0.25"/>
    <row r="44" spans="3:10" s="18" customFormat="1" x14ac:dyDescent="0.25"/>
    <row r="45" spans="3:10" s="18" customFormat="1" x14ac:dyDescent="0.25"/>
    <row r="46" spans="3:10" s="18" customFormat="1" x14ac:dyDescent="0.25"/>
    <row r="47" spans="3:10" s="18" customFormat="1" x14ac:dyDescent="0.25"/>
    <row r="48" spans="3:10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</sheetData>
  <conditionalFormatting sqref="E16">
    <cfRule type="containsText" dxfId="21" priority="30" operator="containsText" text="N">
      <formula>NOT(ISERROR(SEARCH("N",E16)))</formula>
    </cfRule>
    <cfRule type="cellIs" dxfId="20" priority="31" operator="equal">
      <formula>"""N"""</formula>
    </cfRule>
    <cfRule type="cellIs" dxfId="19" priority="32" operator="equal">
      <formula>"""N"""</formula>
    </cfRule>
  </conditionalFormatting>
  <conditionalFormatting sqref="F16">
    <cfRule type="containsText" dxfId="18" priority="17" operator="containsText" text="N">
      <formula>NOT(ISERROR(SEARCH("N",F16)))</formula>
    </cfRule>
    <cfRule type="cellIs" dxfId="17" priority="18" operator="equal">
      <formula>"""N"""</formula>
    </cfRule>
    <cfRule type="cellIs" dxfId="16" priority="19" operator="equal">
      <formula>"""N"""</formula>
    </cfRule>
  </conditionalFormatting>
  <conditionalFormatting sqref="G16">
    <cfRule type="containsText" dxfId="15" priority="14" operator="containsText" text="N">
      <formula>NOT(ISERROR(SEARCH("N",G16)))</formula>
    </cfRule>
    <cfRule type="cellIs" dxfId="14" priority="15" operator="equal">
      <formula>"""N"""</formula>
    </cfRule>
    <cfRule type="cellIs" dxfId="13" priority="16" operator="equal">
      <formula>"""N"""</formula>
    </cfRule>
  </conditionalFormatting>
  <conditionalFormatting sqref="H16">
    <cfRule type="containsText" dxfId="12" priority="11" operator="containsText" text="N">
      <formula>NOT(ISERROR(SEARCH("N",H16)))</formula>
    </cfRule>
    <cfRule type="cellIs" dxfId="11" priority="12" operator="equal">
      <formula>"""N"""</formula>
    </cfRule>
    <cfRule type="cellIs" dxfId="10" priority="13" operator="equal">
      <formula>"""N"""</formula>
    </cfRule>
  </conditionalFormatting>
  <conditionalFormatting sqref="I16">
    <cfRule type="containsText" dxfId="9" priority="8" operator="containsText" text="N">
      <formula>NOT(ISERROR(SEARCH("N",I16)))</formula>
    </cfRule>
    <cfRule type="cellIs" dxfId="8" priority="9" operator="equal">
      <formula>"""N"""</formula>
    </cfRule>
    <cfRule type="cellIs" dxfId="7" priority="10" operator="equal">
      <formula>"""N"""</formula>
    </cfRule>
  </conditionalFormatting>
  <conditionalFormatting sqref="J16">
    <cfRule type="containsText" dxfId="6" priority="5" operator="containsText" text="N">
      <formula>NOT(ISERROR(SEARCH("N",J16)))</formula>
    </cfRule>
    <cfRule type="cellIs" dxfId="5" priority="6" operator="equal">
      <formula>"""N"""</formula>
    </cfRule>
    <cfRule type="cellIs" dxfId="4" priority="7" operator="equal">
      <formula>"""N"""</formula>
    </cfRule>
  </conditionalFormatting>
  <conditionalFormatting sqref="K16">
    <cfRule type="containsText" dxfId="3" priority="2" operator="containsText" text="N">
      <formula>NOT(ISERROR(SEARCH("N",K16)))</formula>
    </cfRule>
    <cfRule type="cellIs" dxfId="2" priority="3" operator="equal">
      <formula>"""N"""</formula>
    </cfRule>
    <cfRule type="cellIs" dxfId="1" priority="4" operator="equal">
      <formula>"""N"""</formula>
    </cfRule>
  </conditionalFormatting>
  <conditionalFormatting sqref="G3">
    <cfRule type="expression" dxfId="0" priority="1">
      <formula>$K$16="N"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Button 2">
              <controlPr defaultSize="0" print="0" autoFill="0" autoPict="0" macro="[0]!InstantaneousGoalSeek3">
                <anchor moveWithCells="1" sizeWithCells="1">
                  <from>
                    <xdr:col>11</xdr:col>
                    <xdr:colOff>200025</xdr:colOff>
                    <xdr:row>0</xdr:row>
                    <xdr:rowOff>142875</xdr:rowOff>
                  </from>
                  <to>
                    <xdr:col>15</xdr:col>
                    <xdr:colOff>342900</xdr:colOff>
                    <xdr:row>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L381"/>
  <sheetViews>
    <sheetView zoomScale="85" zoomScaleNormal="85" workbookViewId="0">
      <pane xSplit="3" ySplit="2" topLeftCell="AP3" activePane="bottomRight" state="frozen"/>
      <selection pane="topRight" activeCell="D1" sqref="D1"/>
      <selection pane="bottomLeft" activeCell="A4" sqref="A4"/>
      <selection pane="bottomRight" activeCell="AR26" sqref="AR26"/>
    </sheetView>
  </sheetViews>
  <sheetFormatPr defaultRowHeight="15" x14ac:dyDescent="0.25"/>
  <cols>
    <col min="1" max="2" width="12.140625" customWidth="1"/>
    <col min="3" max="3" width="39.7109375" customWidth="1"/>
    <col min="4" max="4" width="19" bestFit="1" customWidth="1"/>
    <col min="5" max="5" width="18" bestFit="1" customWidth="1"/>
    <col min="6" max="15" width="16.7109375" bestFit="1" customWidth="1"/>
    <col min="16" max="16" width="18.28515625" bestFit="1" customWidth="1"/>
    <col min="17" max="18" width="18.140625" bestFit="1" customWidth="1"/>
    <col min="19" max="32" width="16.7109375" bestFit="1" customWidth="1"/>
    <col min="33" max="33" width="16.7109375" customWidth="1"/>
    <col min="34" max="34" width="17.140625" customWidth="1"/>
    <col min="35" max="38" width="21.42578125" bestFit="1" customWidth="1"/>
    <col min="39" max="39" width="20.7109375" bestFit="1" customWidth="1"/>
    <col min="40" max="42" width="21.42578125" bestFit="1" customWidth="1"/>
    <col min="43" max="43" width="20.7109375" bestFit="1" customWidth="1"/>
    <col min="44" max="44" width="21.42578125" bestFit="1" customWidth="1"/>
    <col min="45" max="246" width="9.140625" style="18"/>
    <col min="247" max="247" width="9.140625" customWidth="1"/>
  </cols>
  <sheetData>
    <row r="1" spans="3:60" ht="18.75" x14ac:dyDescent="0.3">
      <c r="C1" s="81" t="s">
        <v>134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3"/>
    </row>
    <row r="2" spans="3:60" x14ac:dyDescent="0.25">
      <c r="C2" s="45" t="s">
        <v>97</v>
      </c>
      <c r="D2" s="9">
        <v>0</v>
      </c>
      <c r="E2" s="9">
        <v>1</v>
      </c>
      <c r="F2" s="9">
        <f>E2+1</f>
        <v>2</v>
      </c>
      <c r="G2" s="9">
        <f>F2+1</f>
        <v>3</v>
      </c>
      <c r="H2" s="9">
        <f t="shared" ref="H2:V2" si="0">G2+1</f>
        <v>4</v>
      </c>
      <c r="I2" s="9">
        <f t="shared" si="0"/>
        <v>5</v>
      </c>
      <c r="J2" s="9">
        <f t="shared" si="0"/>
        <v>6</v>
      </c>
      <c r="K2" s="9">
        <f t="shared" si="0"/>
        <v>7</v>
      </c>
      <c r="L2" s="9">
        <f t="shared" si="0"/>
        <v>8</v>
      </c>
      <c r="M2" s="9">
        <f t="shared" si="0"/>
        <v>9</v>
      </c>
      <c r="N2" s="9">
        <f t="shared" si="0"/>
        <v>10</v>
      </c>
      <c r="O2" s="9">
        <f t="shared" si="0"/>
        <v>11</v>
      </c>
      <c r="P2" s="9">
        <f t="shared" si="0"/>
        <v>12</v>
      </c>
      <c r="Q2" s="9">
        <f t="shared" si="0"/>
        <v>13</v>
      </c>
      <c r="R2" s="9">
        <f t="shared" si="0"/>
        <v>14</v>
      </c>
      <c r="S2" s="9">
        <f t="shared" si="0"/>
        <v>15</v>
      </c>
      <c r="T2" s="9">
        <f t="shared" si="0"/>
        <v>16</v>
      </c>
      <c r="U2" s="9">
        <f t="shared" si="0"/>
        <v>17</v>
      </c>
      <c r="V2" s="9">
        <f t="shared" si="0"/>
        <v>18</v>
      </c>
      <c r="W2" s="9">
        <f t="shared" ref="W2:AR2" si="1">V2+1</f>
        <v>19</v>
      </c>
      <c r="X2" s="9">
        <f t="shared" si="1"/>
        <v>20</v>
      </c>
      <c r="Y2" s="9">
        <f t="shared" si="1"/>
        <v>21</v>
      </c>
      <c r="Z2" s="9">
        <f t="shared" si="1"/>
        <v>22</v>
      </c>
      <c r="AA2" s="9">
        <f t="shared" si="1"/>
        <v>23</v>
      </c>
      <c r="AB2" s="9">
        <f t="shared" si="1"/>
        <v>24</v>
      </c>
      <c r="AC2" s="9">
        <f t="shared" si="1"/>
        <v>25</v>
      </c>
      <c r="AD2" s="9">
        <f t="shared" si="1"/>
        <v>26</v>
      </c>
      <c r="AE2" s="9">
        <f t="shared" si="1"/>
        <v>27</v>
      </c>
      <c r="AF2" s="9">
        <f t="shared" si="1"/>
        <v>28</v>
      </c>
      <c r="AG2" s="9">
        <f t="shared" si="1"/>
        <v>29</v>
      </c>
      <c r="AH2" s="9">
        <f t="shared" si="1"/>
        <v>30</v>
      </c>
      <c r="AI2" s="9">
        <f t="shared" si="1"/>
        <v>31</v>
      </c>
      <c r="AJ2" s="9">
        <f t="shared" si="1"/>
        <v>32</v>
      </c>
      <c r="AK2" s="9">
        <f t="shared" si="1"/>
        <v>33</v>
      </c>
      <c r="AL2" s="9">
        <f t="shared" si="1"/>
        <v>34</v>
      </c>
      <c r="AM2" s="9">
        <f t="shared" si="1"/>
        <v>35</v>
      </c>
      <c r="AN2" s="9">
        <f t="shared" si="1"/>
        <v>36</v>
      </c>
      <c r="AO2" s="9">
        <f t="shared" si="1"/>
        <v>37</v>
      </c>
      <c r="AP2" s="9">
        <f t="shared" si="1"/>
        <v>38</v>
      </c>
      <c r="AQ2" s="9">
        <f t="shared" si="1"/>
        <v>39</v>
      </c>
      <c r="AR2" s="49">
        <f t="shared" si="1"/>
        <v>40</v>
      </c>
    </row>
    <row r="3" spans="3:60" x14ac:dyDescent="0.25">
      <c r="C3" s="45" t="s">
        <v>102</v>
      </c>
      <c r="D3" s="9">
        <f>Oil_Prod</f>
        <v>676400000</v>
      </c>
      <c r="E3" s="9">
        <f t="shared" ref="E3:AR3" si="2">D3*(1+Oil_Growth)</f>
        <v>683164000</v>
      </c>
      <c r="F3" s="9">
        <f t="shared" si="2"/>
        <v>689995640</v>
      </c>
      <c r="G3" s="9">
        <f t="shared" si="2"/>
        <v>696895596.39999998</v>
      </c>
      <c r="H3" s="9">
        <f t="shared" si="2"/>
        <v>703864552.36399996</v>
      </c>
      <c r="I3" s="9">
        <f t="shared" si="2"/>
        <v>710903197.88764</v>
      </c>
      <c r="J3" s="9">
        <f t="shared" si="2"/>
        <v>718012229.86651635</v>
      </c>
      <c r="K3" s="9">
        <f t="shared" si="2"/>
        <v>725192352.16518152</v>
      </c>
      <c r="L3" s="9">
        <f t="shared" si="2"/>
        <v>732444275.68683338</v>
      </c>
      <c r="M3" s="9">
        <f t="shared" si="2"/>
        <v>739768718.44370174</v>
      </c>
      <c r="N3" s="9">
        <f t="shared" si="2"/>
        <v>747166405.62813878</v>
      </c>
      <c r="O3" s="9">
        <f t="shared" si="2"/>
        <v>754638069.68442023</v>
      </c>
      <c r="P3" s="9">
        <f t="shared" si="2"/>
        <v>762184450.38126445</v>
      </c>
      <c r="Q3" s="9">
        <f t="shared" si="2"/>
        <v>769806294.88507712</v>
      </c>
      <c r="R3" s="9">
        <f t="shared" si="2"/>
        <v>777504357.83392787</v>
      </c>
      <c r="S3" s="9">
        <f t="shared" si="2"/>
        <v>785279401.41226721</v>
      </c>
      <c r="T3" s="9">
        <f t="shared" si="2"/>
        <v>793132195.42638993</v>
      </c>
      <c r="U3" s="9">
        <f t="shared" si="2"/>
        <v>801063517.38065386</v>
      </c>
      <c r="V3" s="9">
        <f t="shared" si="2"/>
        <v>809074152.55446041</v>
      </c>
      <c r="W3" s="9">
        <f t="shared" si="2"/>
        <v>817164894.08000505</v>
      </c>
      <c r="X3" s="9">
        <f t="shared" si="2"/>
        <v>825336543.02080512</v>
      </c>
      <c r="Y3" s="9">
        <f t="shared" si="2"/>
        <v>833589908.45101321</v>
      </c>
      <c r="Z3" s="9">
        <f t="shared" si="2"/>
        <v>841925807.5355233</v>
      </c>
      <c r="AA3" s="9">
        <f t="shared" si="2"/>
        <v>850345065.61087859</v>
      </c>
      <c r="AB3" s="9">
        <f t="shared" si="2"/>
        <v>858848516.26698732</v>
      </c>
      <c r="AC3" s="9">
        <f t="shared" si="2"/>
        <v>867437001.42965722</v>
      </c>
      <c r="AD3" s="9">
        <f t="shared" si="2"/>
        <v>876111371.44395375</v>
      </c>
      <c r="AE3" s="9">
        <f t="shared" si="2"/>
        <v>884872485.15839326</v>
      </c>
      <c r="AF3" s="9">
        <f t="shared" si="2"/>
        <v>893721210.00997722</v>
      </c>
      <c r="AG3" s="9">
        <f t="shared" si="2"/>
        <v>902658422.11007702</v>
      </c>
      <c r="AH3" s="9">
        <f t="shared" si="2"/>
        <v>911685006.33117783</v>
      </c>
      <c r="AI3" s="9">
        <f t="shared" si="2"/>
        <v>920801856.39448965</v>
      </c>
      <c r="AJ3" s="9">
        <f t="shared" si="2"/>
        <v>930009874.95843458</v>
      </c>
      <c r="AK3" s="9">
        <f t="shared" si="2"/>
        <v>939309973.7080189</v>
      </c>
      <c r="AL3" s="9">
        <f t="shared" si="2"/>
        <v>948703073.44509912</v>
      </c>
      <c r="AM3" s="9">
        <f t="shared" si="2"/>
        <v>958190104.17955017</v>
      </c>
      <c r="AN3" s="9">
        <f t="shared" si="2"/>
        <v>967772005.22134566</v>
      </c>
      <c r="AO3" s="9">
        <f t="shared" si="2"/>
        <v>977449725.27355909</v>
      </c>
      <c r="AP3" s="9">
        <f t="shared" si="2"/>
        <v>987224222.52629471</v>
      </c>
      <c r="AQ3" s="9">
        <f t="shared" si="2"/>
        <v>997096464.75155771</v>
      </c>
      <c r="AR3" s="9">
        <f t="shared" si="2"/>
        <v>1007067429.3990732</v>
      </c>
    </row>
    <row r="4" spans="3:60" x14ac:dyDescent="0.25">
      <c r="C4" s="45" t="s">
        <v>103</v>
      </c>
      <c r="D4" s="10">
        <f t="shared" ref="D4:AR4" si="3">Inc_Em*D3/10^9</f>
        <v>47.889120000000005</v>
      </c>
      <c r="E4" s="10">
        <f t="shared" si="3"/>
        <v>48.368011200000005</v>
      </c>
      <c r="F4" s="10">
        <f t="shared" si="3"/>
        <v>48.851691312000007</v>
      </c>
      <c r="G4" s="10">
        <f t="shared" si="3"/>
        <v>49.340208225120001</v>
      </c>
      <c r="H4" s="10">
        <f t="shared" si="3"/>
        <v>49.83361030737121</v>
      </c>
      <c r="I4" s="10">
        <f t="shared" si="3"/>
        <v>50.331946410444921</v>
      </c>
      <c r="J4" s="10">
        <f t="shared" si="3"/>
        <v>50.835265874549364</v>
      </c>
      <c r="K4" s="10">
        <f t="shared" si="3"/>
        <v>51.343618533294858</v>
      </c>
      <c r="L4" s="10">
        <f t="shared" si="3"/>
        <v>51.857054718627815</v>
      </c>
      <c r="M4" s="10">
        <f t="shared" si="3"/>
        <v>52.375625265814094</v>
      </c>
      <c r="N4" s="10">
        <f t="shared" si="3"/>
        <v>52.899381518472239</v>
      </c>
      <c r="O4" s="10">
        <f t="shared" si="3"/>
        <v>53.428375333656959</v>
      </c>
      <c r="P4" s="10">
        <f t="shared" si="3"/>
        <v>53.962659086993533</v>
      </c>
      <c r="Q4" s="10">
        <f t="shared" si="3"/>
        <v>54.502285677863469</v>
      </c>
      <c r="R4" s="10">
        <f t="shared" si="3"/>
        <v>55.047308534642106</v>
      </c>
      <c r="S4" s="10">
        <f t="shared" si="3"/>
        <v>55.597781619988524</v>
      </c>
      <c r="T4" s="10">
        <f t="shared" si="3"/>
        <v>56.153759436188416</v>
      </c>
      <c r="U4" s="10">
        <f t="shared" si="3"/>
        <v>56.715297030550303</v>
      </c>
      <c r="V4" s="10">
        <f t="shared" si="3"/>
        <v>57.282450000855803</v>
      </c>
      <c r="W4" s="10">
        <f t="shared" si="3"/>
        <v>57.855274500864361</v>
      </c>
      <c r="X4" s="10">
        <f t="shared" si="3"/>
        <v>58.433827245873012</v>
      </c>
      <c r="Y4" s="10">
        <f t="shared" si="3"/>
        <v>59.018165518331742</v>
      </c>
      <c r="Z4" s="10">
        <f t="shared" si="3"/>
        <v>59.608347173515064</v>
      </c>
      <c r="AA4" s="10">
        <f t="shared" si="3"/>
        <v>60.204430645250213</v>
      </c>
      <c r="AB4" s="10">
        <f t="shared" si="3"/>
        <v>60.806474951702711</v>
      </c>
      <c r="AC4" s="10">
        <f t="shared" si="3"/>
        <v>61.414539701219745</v>
      </c>
      <c r="AD4" s="10">
        <f t="shared" si="3"/>
        <v>62.028685098231932</v>
      </c>
      <c r="AE4" s="10">
        <f t="shared" si="3"/>
        <v>62.648971949214257</v>
      </c>
      <c r="AF4" s="10">
        <f t="shared" si="3"/>
        <v>63.275461668706399</v>
      </c>
      <c r="AG4" s="10">
        <f t="shared" si="3"/>
        <v>63.908216285393465</v>
      </c>
      <c r="AH4" s="10">
        <f t="shared" si="3"/>
        <v>64.547298448247403</v>
      </c>
      <c r="AI4" s="10">
        <f t="shared" si="3"/>
        <v>65.19277143272987</v>
      </c>
      <c r="AJ4" s="10">
        <f t="shared" si="3"/>
        <v>65.844699147057185</v>
      </c>
      <c r="AK4" s="10">
        <f t="shared" si="3"/>
        <v>66.503146138527754</v>
      </c>
      <c r="AL4" s="10">
        <f t="shared" si="3"/>
        <v>67.168177599913022</v>
      </c>
      <c r="AM4" s="10">
        <f t="shared" si="3"/>
        <v>67.83985937591217</v>
      </c>
      <c r="AN4" s="10">
        <f t="shared" si="3"/>
        <v>68.518257969671282</v>
      </c>
      <c r="AO4" s="10">
        <f t="shared" si="3"/>
        <v>69.203440549367997</v>
      </c>
      <c r="AP4" s="10">
        <f t="shared" si="3"/>
        <v>69.895474954861683</v>
      </c>
      <c r="AQ4" s="10">
        <f t="shared" si="3"/>
        <v>70.594429704410288</v>
      </c>
      <c r="AR4" s="10">
        <f t="shared" si="3"/>
        <v>71.300374001454387</v>
      </c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</row>
    <row r="5" spans="3:60" x14ac:dyDescent="0.25">
      <c r="C5" s="45" t="s">
        <v>104</v>
      </c>
      <c r="D5" s="10">
        <f t="shared" ref="D5:AR5" si="4">Prod_Em*D3/10^9</f>
        <v>116.54372000000002</v>
      </c>
      <c r="E5" s="10">
        <f t="shared" si="4"/>
        <v>117.70915720000002</v>
      </c>
      <c r="F5" s="10">
        <f t="shared" si="4"/>
        <v>118.88624877200002</v>
      </c>
      <c r="G5" s="10">
        <f t="shared" si="4"/>
        <v>120.07511125972</v>
      </c>
      <c r="H5" s="10">
        <f t="shared" si="4"/>
        <v>121.27586237231721</v>
      </c>
      <c r="I5" s="10">
        <f t="shared" si="4"/>
        <v>122.48862099604038</v>
      </c>
      <c r="J5" s="10">
        <f t="shared" si="4"/>
        <v>123.71350720600078</v>
      </c>
      <c r="K5" s="10">
        <f t="shared" si="4"/>
        <v>124.9506422780608</v>
      </c>
      <c r="L5" s="10">
        <f t="shared" si="4"/>
        <v>126.2001487008414</v>
      </c>
      <c r="M5" s="10">
        <f t="shared" si="4"/>
        <v>127.46215018784983</v>
      </c>
      <c r="N5" s="10">
        <f t="shared" si="4"/>
        <v>128.73677168972833</v>
      </c>
      <c r="O5" s="10">
        <f t="shared" si="4"/>
        <v>130.02413940662561</v>
      </c>
      <c r="P5" s="10">
        <f t="shared" si="4"/>
        <v>131.32438080069187</v>
      </c>
      <c r="Q5" s="10">
        <f t="shared" si="4"/>
        <v>132.63762460869879</v>
      </c>
      <c r="R5" s="10">
        <f t="shared" si="4"/>
        <v>133.96400085478578</v>
      </c>
      <c r="S5" s="10">
        <f t="shared" si="4"/>
        <v>135.30364086333364</v>
      </c>
      <c r="T5" s="10">
        <f t="shared" si="4"/>
        <v>136.656677271967</v>
      </c>
      <c r="U5" s="10">
        <f t="shared" si="4"/>
        <v>138.02324404468666</v>
      </c>
      <c r="V5" s="10">
        <f t="shared" si="4"/>
        <v>139.40347648513355</v>
      </c>
      <c r="W5" s="10">
        <f t="shared" si="4"/>
        <v>140.79751124998489</v>
      </c>
      <c r="X5" s="10">
        <f t="shared" si="4"/>
        <v>142.20548636248475</v>
      </c>
      <c r="Y5" s="10">
        <f t="shared" si="4"/>
        <v>143.6275412261096</v>
      </c>
      <c r="Z5" s="10">
        <f t="shared" si="4"/>
        <v>145.06381663837067</v>
      </c>
      <c r="AA5" s="10">
        <f t="shared" si="4"/>
        <v>146.51445480475439</v>
      </c>
      <c r="AB5" s="10">
        <f t="shared" si="4"/>
        <v>147.9795993528019</v>
      </c>
      <c r="AC5" s="10">
        <f t="shared" si="4"/>
        <v>149.45939534632996</v>
      </c>
      <c r="AD5" s="10">
        <f t="shared" si="4"/>
        <v>150.95398929979325</v>
      </c>
      <c r="AE5" s="10">
        <f t="shared" si="4"/>
        <v>152.46352919279116</v>
      </c>
      <c r="AF5" s="10">
        <f t="shared" si="4"/>
        <v>153.98816448471908</v>
      </c>
      <c r="AG5" s="10">
        <f t="shared" si="4"/>
        <v>155.52804612956629</v>
      </c>
      <c r="AH5" s="10">
        <f t="shared" si="4"/>
        <v>157.08332659086193</v>
      </c>
      <c r="AI5" s="10">
        <f t="shared" si="4"/>
        <v>158.65415985677058</v>
      </c>
      <c r="AJ5" s="10">
        <f t="shared" si="4"/>
        <v>160.2407014553383</v>
      </c>
      <c r="AK5" s="10">
        <f t="shared" si="4"/>
        <v>161.84310846989166</v>
      </c>
      <c r="AL5" s="10">
        <f t="shared" si="4"/>
        <v>163.46153955459059</v>
      </c>
      <c r="AM5" s="10">
        <f t="shared" si="4"/>
        <v>165.09615495013651</v>
      </c>
      <c r="AN5" s="10">
        <f t="shared" si="4"/>
        <v>166.74711649963788</v>
      </c>
      <c r="AO5" s="10">
        <f t="shared" si="4"/>
        <v>168.41458766463424</v>
      </c>
      <c r="AP5" s="10">
        <f t="shared" si="4"/>
        <v>170.09873354128058</v>
      </c>
      <c r="AQ5" s="10">
        <f t="shared" si="4"/>
        <v>171.79972087669339</v>
      </c>
      <c r="AR5" s="10">
        <f t="shared" si="4"/>
        <v>173.51771808546033</v>
      </c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</row>
    <row r="6" spans="3:60" x14ac:dyDescent="0.25">
      <c r="C6" s="45" t="s">
        <v>105</v>
      </c>
      <c r="D6" s="10">
        <f t="shared" ref="D6:AR6" si="5">Total_Em*D3/10^9</f>
        <v>376.07839999999999</v>
      </c>
      <c r="E6" s="10">
        <f t="shared" si="5"/>
        <v>379.83918399999999</v>
      </c>
      <c r="F6" s="10">
        <f t="shared" si="5"/>
        <v>383.63757584000001</v>
      </c>
      <c r="G6" s="10">
        <f t="shared" si="5"/>
        <v>387.47395159839994</v>
      </c>
      <c r="H6" s="10">
        <f t="shared" si="5"/>
        <v>391.348691114384</v>
      </c>
      <c r="I6" s="10">
        <f t="shared" si="5"/>
        <v>395.26217802552782</v>
      </c>
      <c r="J6" s="10">
        <f t="shared" si="5"/>
        <v>399.21479980578306</v>
      </c>
      <c r="K6" s="10">
        <f t="shared" si="5"/>
        <v>403.20694780384093</v>
      </c>
      <c r="L6" s="10">
        <f t="shared" si="5"/>
        <v>407.23901728187934</v>
      </c>
      <c r="M6" s="10">
        <f t="shared" si="5"/>
        <v>411.31140745469816</v>
      </c>
      <c r="N6" s="10">
        <f t="shared" si="5"/>
        <v>415.42452152924517</v>
      </c>
      <c r="O6" s="10">
        <f t="shared" si="5"/>
        <v>419.57876674453763</v>
      </c>
      <c r="P6" s="10">
        <f t="shared" si="5"/>
        <v>423.77455441198305</v>
      </c>
      <c r="Q6" s="10">
        <f t="shared" si="5"/>
        <v>428.01229995610288</v>
      </c>
      <c r="R6" s="10">
        <f t="shared" si="5"/>
        <v>432.29242295566388</v>
      </c>
      <c r="S6" s="10">
        <f t="shared" si="5"/>
        <v>436.61534718522057</v>
      </c>
      <c r="T6" s="10">
        <f t="shared" si="5"/>
        <v>440.98150065707284</v>
      </c>
      <c r="U6" s="10">
        <f t="shared" si="5"/>
        <v>445.39131566364358</v>
      </c>
      <c r="V6" s="10">
        <f t="shared" si="5"/>
        <v>449.84522882027994</v>
      </c>
      <c r="W6" s="10">
        <f t="shared" si="5"/>
        <v>454.34368110848277</v>
      </c>
      <c r="X6" s="10">
        <f t="shared" si="5"/>
        <v>458.88711791956763</v>
      </c>
      <c r="Y6" s="10">
        <f t="shared" si="5"/>
        <v>463.47598909876336</v>
      </c>
      <c r="Z6" s="10">
        <f t="shared" si="5"/>
        <v>468.11074898975096</v>
      </c>
      <c r="AA6" s="10">
        <f t="shared" si="5"/>
        <v>472.79185647964852</v>
      </c>
      <c r="AB6" s="10">
        <f t="shared" si="5"/>
        <v>477.51977504444494</v>
      </c>
      <c r="AC6" s="10">
        <f t="shared" si="5"/>
        <v>482.29497279488942</v>
      </c>
      <c r="AD6" s="10">
        <f t="shared" si="5"/>
        <v>487.11792252283828</v>
      </c>
      <c r="AE6" s="10">
        <f t="shared" si="5"/>
        <v>491.98910174806667</v>
      </c>
      <c r="AF6" s="10">
        <f t="shared" si="5"/>
        <v>496.90899276554734</v>
      </c>
      <c r="AG6" s="10">
        <f t="shared" si="5"/>
        <v>501.87808269320283</v>
      </c>
      <c r="AH6" s="10">
        <f t="shared" si="5"/>
        <v>506.8968635201349</v>
      </c>
      <c r="AI6" s="10">
        <f t="shared" si="5"/>
        <v>511.96583215533622</v>
      </c>
      <c r="AJ6" s="10">
        <f t="shared" si="5"/>
        <v>517.08549047688962</v>
      </c>
      <c r="AK6" s="10">
        <f t="shared" si="5"/>
        <v>522.25634538165855</v>
      </c>
      <c r="AL6" s="10">
        <f t="shared" si="5"/>
        <v>527.47890883547507</v>
      </c>
      <c r="AM6" s="10">
        <f t="shared" si="5"/>
        <v>532.75369792382992</v>
      </c>
      <c r="AN6" s="10">
        <f t="shared" si="5"/>
        <v>538.08123490306821</v>
      </c>
      <c r="AO6" s="10">
        <f t="shared" si="5"/>
        <v>543.46204725209884</v>
      </c>
      <c r="AP6" s="10">
        <f t="shared" si="5"/>
        <v>548.89666772461987</v>
      </c>
      <c r="AQ6" s="10">
        <f t="shared" si="5"/>
        <v>554.38563440186613</v>
      </c>
      <c r="AR6" s="10">
        <f t="shared" si="5"/>
        <v>559.92949074588478</v>
      </c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</row>
    <row r="7" spans="3:60" x14ac:dyDescent="0.25">
      <c r="C7" s="45" t="s">
        <v>98</v>
      </c>
      <c r="D7" s="46">
        <f>D3*Tarrif_bbl</f>
        <v>8793200000</v>
      </c>
      <c r="E7" s="46">
        <f t="shared" ref="E7:AR7" si="6">E3*Tarrif_bbl</f>
        <v>8881132000</v>
      </c>
      <c r="F7" s="46">
        <f t="shared" si="6"/>
        <v>8969943320</v>
      </c>
      <c r="G7" s="46">
        <f t="shared" si="6"/>
        <v>9059642753.1999989</v>
      </c>
      <c r="H7" s="46">
        <f t="shared" si="6"/>
        <v>9150239180.7320004</v>
      </c>
      <c r="I7" s="46">
        <f t="shared" si="6"/>
        <v>9241741572.53932</v>
      </c>
      <c r="J7" s="46">
        <f t="shared" si="6"/>
        <v>9334158988.2647133</v>
      </c>
      <c r="K7" s="46">
        <f t="shared" si="6"/>
        <v>9427500578.1473598</v>
      </c>
      <c r="L7" s="46">
        <f t="shared" si="6"/>
        <v>9521775583.928833</v>
      </c>
      <c r="M7" s="46">
        <f t="shared" si="6"/>
        <v>9616993339.7681236</v>
      </c>
      <c r="N7" s="46">
        <f t="shared" si="6"/>
        <v>9713163273.1658039</v>
      </c>
      <c r="O7" s="46">
        <f t="shared" si="6"/>
        <v>9810294905.8974628</v>
      </c>
      <c r="P7" s="46">
        <f t="shared" si="6"/>
        <v>9908397854.9564381</v>
      </c>
      <c r="Q7" s="46">
        <f t="shared" si="6"/>
        <v>10007481833.506002</v>
      </c>
      <c r="R7" s="46">
        <f t="shared" si="6"/>
        <v>10107556651.841063</v>
      </c>
      <c r="S7" s="46">
        <f t="shared" si="6"/>
        <v>10208632218.359474</v>
      </c>
      <c r="T7" s="46">
        <f t="shared" si="6"/>
        <v>10310718540.54307</v>
      </c>
      <c r="U7" s="46">
        <f t="shared" si="6"/>
        <v>10413825725.9485</v>
      </c>
      <c r="V7" s="46">
        <f t="shared" si="6"/>
        <v>10517963983.207985</v>
      </c>
      <c r="W7" s="46">
        <f t="shared" si="6"/>
        <v>10623143623.040066</v>
      </c>
      <c r="X7" s="46">
        <f t="shared" si="6"/>
        <v>10729375059.270466</v>
      </c>
      <c r="Y7" s="46">
        <f t="shared" si="6"/>
        <v>10836668809.863173</v>
      </c>
      <c r="Z7" s="46">
        <f t="shared" si="6"/>
        <v>10945035497.961803</v>
      </c>
      <c r="AA7" s="46">
        <f t="shared" si="6"/>
        <v>11054485852.941422</v>
      </c>
      <c r="AB7" s="46">
        <f t="shared" si="6"/>
        <v>11165030711.470835</v>
      </c>
      <c r="AC7" s="46">
        <f t="shared" si="6"/>
        <v>11276681018.585545</v>
      </c>
      <c r="AD7" s="46">
        <f t="shared" si="6"/>
        <v>11389447828.771399</v>
      </c>
      <c r="AE7" s="46">
        <f t="shared" si="6"/>
        <v>11503342307.059113</v>
      </c>
      <c r="AF7" s="46">
        <f t="shared" si="6"/>
        <v>11618375730.129704</v>
      </c>
      <c r="AG7" s="46">
        <f t="shared" si="6"/>
        <v>11734559487.431002</v>
      </c>
      <c r="AH7" s="46">
        <f t="shared" si="6"/>
        <v>11851905082.305311</v>
      </c>
      <c r="AI7" s="46">
        <f t="shared" si="6"/>
        <v>11970424133.128365</v>
      </c>
      <c r="AJ7" s="46">
        <f t="shared" si="6"/>
        <v>12090128374.45965</v>
      </c>
      <c r="AK7" s="46">
        <f t="shared" si="6"/>
        <v>12211029658.204247</v>
      </c>
      <c r="AL7" s="46">
        <f t="shared" si="6"/>
        <v>12333139954.786289</v>
      </c>
      <c r="AM7" s="46">
        <f t="shared" si="6"/>
        <v>12456471354.334152</v>
      </c>
      <c r="AN7" s="46">
        <f t="shared" si="6"/>
        <v>12581036067.877493</v>
      </c>
      <c r="AO7" s="46">
        <f t="shared" si="6"/>
        <v>12706846428.556269</v>
      </c>
      <c r="AP7" s="46">
        <f t="shared" si="6"/>
        <v>12833914892.841831</v>
      </c>
      <c r="AQ7" s="46">
        <f t="shared" si="6"/>
        <v>12962254041.77025</v>
      </c>
      <c r="AR7" s="46">
        <f t="shared" si="6"/>
        <v>13091876582.187952</v>
      </c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</row>
    <row r="8" spans="3:60" ht="1.5" customHeight="1" x14ac:dyDescent="0.25">
      <c r="C8" s="45" t="s">
        <v>203</v>
      </c>
      <c r="D8" s="9">
        <f>D9/1000</f>
        <v>0</v>
      </c>
      <c r="E8" s="20">
        <f>E9/1000</f>
        <v>1.4904991948470208</v>
      </c>
      <c r="F8" s="20">
        <f t="shared" ref="F8:AR8" ca="1" si="7">F9/1000</f>
        <v>2.9481378785163925</v>
      </c>
      <c r="G8" s="20">
        <f t="shared" ca="1" si="7"/>
        <v>4.3738646815388478</v>
      </c>
      <c r="H8" s="20">
        <f t="shared" ca="1" si="7"/>
        <v>5.6615091961136335</v>
      </c>
      <c r="I8" s="20">
        <f t="shared" ca="1" si="7"/>
        <v>6.9575082666322832</v>
      </c>
      <c r="J8" s="20">
        <f t="shared" ca="1" si="7"/>
        <v>8.2445341011536186</v>
      </c>
      <c r="K8" s="20">
        <f t="shared" ca="1" si="7"/>
        <v>9.5249551120984286</v>
      </c>
      <c r="L8" s="20">
        <f t="shared" ca="1" si="7"/>
        <v>10.798767401930702</v>
      </c>
      <c r="M8" s="20">
        <f t="shared" ca="1" si="7"/>
        <v>12.066249458617721</v>
      </c>
      <c r="N8" s="20">
        <f t="shared" ca="1" si="7"/>
        <v>13.327642885119053</v>
      </c>
      <c r="O8" s="20">
        <f t="shared" ca="1" si="7"/>
        <v>14.583190867588627</v>
      </c>
      <c r="P8" s="20">
        <f t="shared" ca="1" si="7"/>
        <v>15.833133610178212</v>
      </c>
      <c r="Q8" s="20">
        <f t="shared" ca="1" si="7"/>
        <v>17.077708945500053</v>
      </c>
      <c r="R8" s="20">
        <f t="shared" ca="1" si="7"/>
        <v>18.317152321676552</v>
      </c>
      <c r="S8" s="20">
        <f t="shared" ca="1" si="7"/>
        <v>19.551696863564842</v>
      </c>
      <c r="T8" s="20">
        <f t="shared" ca="1" si="7"/>
        <v>20.781573424257932</v>
      </c>
      <c r="U8" s="20">
        <f t="shared" ca="1" si="7"/>
        <v>22.007010636969216</v>
      </c>
      <c r="V8" s="20">
        <f t="shared" ca="1" si="7"/>
        <v>23.228234966098952</v>
      </c>
      <c r="W8" s="20">
        <f t="shared" ca="1" si="7"/>
        <v>24.445470757641445</v>
      </c>
      <c r="X8" s="20">
        <f t="shared" ca="1" si="7"/>
        <v>25.658940288927727</v>
      </c>
      <c r="Y8" s="20">
        <f t="shared" ca="1" si="7"/>
        <v>25.378364622871167</v>
      </c>
      <c r="Z8" s="20">
        <f t="shared" ca="1" si="7"/>
        <v>25.330733925300198</v>
      </c>
      <c r="AA8" s="20">
        <f t="shared" ca="1" si="7"/>
        <v>25.30667977415024</v>
      </c>
      <c r="AB8" s="20">
        <f t="shared" ca="1" si="7"/>
        <v>25.436906321221823</v>
      </c>
      <c r="AC8" s="20">
        <f t="shared" ca="1" si="7"/>
        <v>25.556897311579149</v>
      </c>
      <c r="AD8" s="20">
        <f t="shared" ca="1" si="7"/>
        <v>25.70382296267028</v>
      </c>
      <c r="AE8" s="20">
        <f t="shared" ca="1" si="7"/>
        <v>25.870616959753569</v>
      </c>
      <c r="AF8" s="20">
        <f t="shared" ca="1" si="7"/>
        <v>26.057950415321319</v>
      </c>
      <c r="AG8" s="20">
        <f t="shared" ca="1" si="7"/>
        <v>26.265286124456953</v>
      </c>
      <c r="AH8" s="20">
        <f t="shared" ca="1" si="7"/>
        <v>26.492278433578541</v>
      </c>
      <c r="AI8" s="20">
        <f t="shared" ca="1" si="7"/>
        <v>26.738565653104317</v>
      </c>
      <c r="AJ8" s="20">
        <f t="shared" ca="1" si="7"/>
        <v>27.003799499545565</v>
      </c>
      <c r="AK8" s="20">
        <f t="shared" ca="1" si="7"/>
        <v>27.287640777412452</v>
      </c>
      <c r="AL8" s="20">
        <f t="shared" ca="1" si="7"/>
        <v>27.589759758321836</v>
      </c>
      <c r="AM8" s="20">
        <f t="shared" ca="1" si="7"/>
        <v>27.9098359233714</v>
      </c>
      <c r="AN8" s="20">
        <f t="shared" ca="1" si="7"/>
        <v>28.247557795462001</v>
      </c>
      <c r="AO8" s="20">
        <f t="shared" ca="1" si="7"/>
        <v>28.602622763834553</v>
      </c>
      <c r="AP8" s="20">
        <f t="shared" ca="1" si="7"/>
        <v>28.974736913732105</v>
      </c>
      <c r="AQ8" s="20">
        <f t="shared" ca="1" si="7"/>
        <v>29.363614859409694</v>
      </c>
      <c r="AR8" s="20">
        <f t="shared" ca="1" si="7"/>
        <v>29.768979580648853</v>
      </c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</row>
    <row r="9" spans="3:60" x14ac:dyDescent="0.25">
      <c r="C9" s="45" t="s">
        <v>204</v>
      </c>
      <c r="D9" s="9">
        <v>0</v>
      </c>
      <c r="E9" s="10">
        <f>D9+D20-D19</f>
        <v>1490.4991948470208</v>
      </c>
      <c r="F9" s="10">
        <f t="shared" ref="F9:AR9" ca="1" si="8">E9+E20-E19</f>
        <v>2948.1378785163924</v>
      </c>
      <c r="G9" s="10">
        <f t="shared" ca="1" si="8"/>
        <v>4373.8646815388474</v>
      </c>
      <c r="H9" s="10">
        <f t="shared" ca="1" si="8"/>
        <v>5661.5091961136332</v>
      </c>
      <c r="I9" s="10">
        <f t="shared" ca="1" si="8"/>
        <v>6957.5082666322833</v>
      </c>
      <c r="J9" s="10">
        <f t="shared" ca="1" si="8"/>
        <v>8244.5341011536184</v>
      </c>
      <c r="K9" s="10">
        <f t="shared" ca="1" si="8"/>
        <v>9524.9551120984288</v>
      </c>
      <c r="L9" s="10">
        <f t="shared" ca="1" si="8"/>
        <v>10798.767401930701</v>
      </c>
      <c r="M9" s="10">
        <f t="shared" ca="1" si="8"/>
        <v>12066.24945861772</v>
      </c>
      <c r="N9" s="10">
        <f t="shared" ca="1" si="8"/>
        <v>13327.642885119052</v>
      </c>
      <c r="O9" s="10">
        <f t="shared" ca="1" si="8"/>
        <v>14583.190867588626</v>
      </c>
      <c r="P9" s="10">
        <f t="shared" ca="1" si="8"/>
        <v>15833.133610178213</v>
      </c>
      <c r="Q9" s="10">
        <f t="shared" ca="1" si="8"/>
        <v>17077.708945500053</v>
      </c>
      <c r="R9" s="10">
        <f t="shared" ca="1" si="8"/>
        <v>18317.152321676553</v>
      </c>
      <c r="S9" s="10">
        <f t="shared" ca="1" si="8"/>
        <v>19551.696863564841</v>
      </c>
      <c r="T9" s="10">
        <f t="shared" ca="1" si="8"/>
        <v>20781.573424257931</v>
      </c>
      <c r="U9" s="10">
        <f t="shared" ca="1" si="8"/>
        <v>22007.010636969215</v>
      </c>
      <c r="V9" s="10">
        <f t="shared" ca="1" si="8"/>
        <v>23228.234966098953</v>
      </c>
      <c r="W9" s="10">
        <f t="shared" ca="1" si="8"/>
        <v>24445.470757641444</v>
      </c>
      <c r="X9" s="10">
        <f t="shared" ca="1" si="8"/>
        <v>25658.940288927726</v>
      </c>
      <c r="Y9" s="10">
        <f t="shared" ca="1" si="8"/>
        <v>25378.364622871166</v>
      </c>
      <c r="Z9" s="10">
        <f t="shared" ca="1" si="8"/>
        <v>25330.733925300199</v>
      </c>
      <c r="AA9" s="10">
        <f t="shared" ca="1" si="8"/>
        <v>25306.679774150241</v>
      </c>
      <c r="AB9" s="10">
        <f t="shared" ca="1" si="8"/>
        <v>25436.906321221824</v>
      </c>
      <c r="AC9" s="10">
        <f t="shared" ca="1" si="8"/>
        <v>25556.897311579149</v>
      </c>
      <c r="AD9" s="10">
        <f t="shared" ca="1" si="8"/>
        <v>25703.822962670281</v>
      </c>
      <c r="AE9" s="10">
        <f t="shared" ca="1" si="8"/>
        <v>25870.61695975357</v>
      </c>
      <c r="AF9" s="10">
        <f t="shared" ca="1" si="8"/>
        <v>26057.95041532132</v>
      </c>
      <c r="AG9" s="10">
        <f t="shared" ca="1" si="8"/>
        <v>26265.286124456954</v>
      </c>
      <c r="AH9" s="10">
        <f t="shared" ca="1" si="8"/>
        <v>26492.27843357854</v>
      </c>
      <c r="AI9" s="10">
        <f t="shared" ca="1" si="8"/>
        <v>26738.565653104317</v>
      </c>
      <c r="AJ9" s="10">
        <f t="shared" ca="1" si="8"/>
        <v>27003.799499545567</v>
      </c>
      <c r="AK9" s="10">
        <f t="shared" ca="1" si="8"/>
        <v>27287.640777412453</v>
      </c>
      <c r="AL9" s="10">
        <f t="shared" ca="1" si="8"/>
        <v>27589.759758321838</v>
      </c>
      <c r="AM9" s="10">
        <f t="shared" ca="1" si="8"/>
        <v>27909.8359233714</v>
      </c>
      <c r="AN9" s="10">
        <f t="shared" ca="1" si="8"/>
        <v>28247.557795462002</v>
      </c>
      <c r="AO9" s="10">
        <f t="shared" ca="1" si="8"/>
        <v>28602.622763834552</v>
      </c>
      <c r="AP9" s="10">
        <f t="shared" ca="1" si="8"/>
        <v>28974.736913732104</v>
      </c>
      <c r="AQ9" s="10">
        <f t="shared" ca="1" si="8"/>
        <v>29363.614859409692</v>
      </c>
      <c r="AR9" s="10">
        <f t="shared" ca="1" si="8"/>
        <v>29768.979580648855</v>
      </c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</row>
    <row r="10" spans="3:60" x14ac:dyDescent="0.25">
      <c r="C10" s="45" t="s">
        <v>110</v>
      </c>
      <c r="D10" s="62">
        <f t="shared" ref="D10:AR10" si="9">D9*Turb_Size_MW*CF/1000</f>
        <v>0</v>
      </c>
      <c r="E10" s="62">
        <f t="shared" si="9"/>
        <v>0.87417777777777783</v>
      </c>
      <c r="F10" s="62">
        <f t="shared" ca="1" si="9"/>
        <v>1.7290828657498645</v>
      </c>
      <c r="G10" s="62">
        <f t="shared" ca="1" si="9"/>
        <v>2.5652716357225347</v>
      </c>
      <c r="H10" s="62">
        <f t="shared" ca="1" si="9"/>
        <v>3.3204751435206457</v>
      </c>
      <c r="I10" s="62">
        <f t="shared" ca="1" si="9"/>
        <v>4.0805785983798355</v>
      </c>
      <c r="J10" s="62">
        <f t="shared" ca="1" si="9"/>
        <v>4.8354192503265976</v>
      </c>
      <c r="K10" s="62">
        <f t="shared" ca="1" si="9"/>
        <v>5.5863861732457298</v>
      </c>
      <c r="L10" s="62">
        <f t="shared" ca="1" si="9"/>
        <v>6.3334770812323571</v>
      </c>
      <c r="M10" s="62">
        <f t="shared" ca="1" si="9"/>
        <v>7.0768553074792937</v>
      </c>
      <c r="N10" s="62">
        <f t="shared" ca="1" si="9"/>
        <v>7.8166625521223247</v>
      </c>
      <c r="O10" s="62">
        <f t="shared" ca="1" si="9"/>
        <v>8.5530414438407316</v>
      </c>
      <c r="P10" s="62">
        <f t="shared" ca="1" si="9"/>
        <v>9.2861328623695218</v>
      </c>
      <c r="Q10" s="62">
        <f t="shared" ca="1" si="9"/>
        <v>10.016076296535783</v>
      </c>
      <c r="R10" s="62">
        <f t="shared" ca="1" si="9"/>
        <v>10.743009836663299</v>
      </c>
      <c r="S10" s="62">
        <f t="shared" ca="1" si="9"/>
        <v>11.467070210480781</v>
      </c>
      <c r="T10" s="62">
        <f t="shared" ca="1" si="9"/>
        <v>12.188392813327276</v>
      </c>
      <c r="U10" s="62">
        <f t="shared" ca="1" si="9"/>
        <v>12.907111738582445</v>
      </c>
      <c r="V10" s="62">
        <f t="shared" ca="1" si="9"/>
        <v>13.623359807617039</v>
      </c>
      <c r="W10" s="62">
        <f t="shared" ca="1" si="9"/>
        <v>14.337268599356708</v>
      </c>
      <c r="X10" s="62">
        <f t="shared" ca="1" si="9"/>
        <v>15.048968479456112</v>
      </c>
      <c r="Y10" s="62">
        <f t="shared" ca="1" si="9"/>
        <v>14.884410851313939</v>
      </c>
      <c r="Z10" s="62">
        <f t="shared" ca="1" si="9"/>
        <v>14.856475447188568</v>
      </c>
      <c r="AA10" s="62">
        <f t="shared" ca="1" si="9"/>
        <v>14.84236768753912</v>
      </c>
      <c r="AB10" s="62">
        <f t="shared" ca="1" si="9"/>
        <v>14.918745557396601</v>
      </c>
      <c r="AC10" s="62">
        <f t="shared" ca="1" si="9"/>
        <v>14.989120273241173</v>
      </c>
      <c r="AD10" s="62">
        <f t="shared" ca="1" si="9"/>
        <v>15.075292167606124</v>
      </c>
      <c r="AE10" s="62">
        <f t="shared" ca="1" si="9"/>
        <v>15.17311684689547</v>
      </c>
      <c r="AF10" s="62">
        <f t="shared" ca="1" si="9"/>
        <v>15.282987918585956</v>
      </c>
      <c r="AG10" s="62">
        <f t="shared" ca="1" si="9"/>
        <v>15.404590311994006</v>
      </c>
      <c r="AH10" s="62">
        <f t="shared" ca="1" si="9"/>
        <v>15.537721301293816</v>
      </c>
      <c r="AI10" s="62">
        <f t="shared" ca="1" si="9"/>
        <v>15.682168755545684</v>
      </c>
      <c r="AJ10" s="62">
        <f t="shared" ca="1" si="9"/>
        <v>15.837728406483476</v>
      </c>
      <c r="AK10" s="62">
        <f t="shared" ca="1" si="9"/>
        <v>16.004201315952404</v>
      </c>
      <c r="AL10" s="62">
        <f t="shared" ca="1" si="9"/>
        <v>16.181394098255758</v>
      </c>
      <c r="AM10" s="62">
        <f t="shared" ca="1" si="9"/>
        <v>16.369118769057327</v>
      </c>
      <c r="AN10" s="62">
        <f t="shared" ca="1" si="9"/>
        <v>16.567192647038468</v>
      </c>
      <c r="AO10" s="62">
        <f t="shared" ca="1" si="9"/>
        <v>16.775438250988966</v>
      </c>
      <c r="AP10" s="62">
        <f t="shared" ca="1" si="9"/>
        <v>16.993683199903881</v>
      </c>
      <c r="AQ10" s="62">
        <f t="shared" ca="1" si="9"/>
        <v>17.221760115043789</v>
      </c>
      <c r="AR10" s="62">
        <f t="shared" ca="1" si="9"/>
        <v>17.459506524050553</v>
      </c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</row>
    <row r="11" spans="3:60" x14ac:dyDescent="0.25">
      <c r="C11" s="45" t="s">
        <v>99</v>
      </c>
      <c r="D11" s="46">
        <f t="shared" ref="D11:AR11" si="10">D10*Tarrif_kwh*365*24*10^6</f>
        <v>0</v>
      </c>
      <c r="E11" s="46">
        <f t="shared" si="10"/>
        <v>0</v>
      </c>
      <c r="F11" s="46">
        <f t="shared" ca="1" si="10"/>
        <v>0</v>
      </c>
      <c r="G11" s="46">
        <f t="shared" ca="1" si="10"/>
        <v>0</v>
      </c>
      <c r="H11" s="46">
        <f t="shared" ca="1" si="10"/>
        <v>0</v>
      </c>
      <c r="I11" s="46">
        <f t="shared" ca="1" si="10"/>
        <v>0</v>
      </c>
      <c r="J11" s="46">
        <f t="shared" ca="1" si="10"/>
        <v>0</v>
      </c>
      <c r="K11" s="46">
        <f t="shared" ca="1" si="10"/>
        <v>0</v>
      </c>
      <c r="L11" s="46">
        <f t="shared" ca="1" si="10"/>
        <v>0</v>
      </c>
      <c r="M11" s="46">
        <f t="shared" ca="1" si="10"/>
        <v>0</v>
      </c>
      <c r="N11" s="46">
        <f t="shared" ca="1" si="10"/>
        <v>0</v>
      </c>
      <c r="O11" s="46">
        <f t="shared" ca="1" si="10"/>
        <v>0</v>
      </c>
      <c r="P11" s="46">
        <f t="shared" ca="1" si="10"/>
        <v>0</v>
      </c>
      <c r="Q11" s="46">
        <f t="shared" ca="1" si="10"/>
        <v>0</v>
      </c>
      <c r="R11" s="46">
        <f t="shared" ca="1" si="10"/>
        <v>0</v>
      </c>
      <c r="S11" s="46">
        <f t="shared" ca="1" si="10"/>
        <v>0</v>
      </c>
      <c r="T11" s="46">
        <f t="shared" ca="1" si="10"/>
        <v>0</v>
      </c>
      <c r="U11" s="46">
        <f t="shared" ca="1" si="10"/>
        <v>0</v>
      </c>
      <c r="V11" s="46">
        <f t="shared" ca="1" si="10"/>
        <v>0</v>
      </c>
      <c r="W11" s="46">
        <f t="shared" ca="1" si="10"/>
        <v>0</v>
      </c>
      <c r="X11" s="46">
        <f t="shared" ca="1" si="10"/>
        <v>0</v>
      </c>
      <c r="Y11" s="46">
        <f t="shared" ca="1" si="10"/>
        <v>0</v>
      </c>
      <c r="Z11" s="46">
        <f t="shared" ca="1" si="10"/>
        <v>0</v>
      </c>
      <c r="AA11" s="46">
        <f t="shared" ca="1" si="10"/>
        <v>0</v>
      </c>
      <c r="AB11" s="46">
        <f t="shared" ca="1" si="10"/>
        <v>0</v>
      </c>
      <c r="AC11" s="46">
        <f t="shared" ca="1" si="10"/>
        <v>0</v>
      </c>
      <c r="AD11" s="46">
        <f t="shared" ca="1" si="10"/>
        <v>0</v>
      </c>
      <c r="AE11" s="46">
        <f t="shared" ca="1" si="10"/>
        <v>0</v>
      </c>
      <c r="AF11" s="46">
        <f t="shared" ca="1" si="10"/>
        <v>0</v>
      </c>
      <c r="AG11" s="46">
        <f t="shared" ca="1" si="10"/>
        <v>0</v>
      </c>
      <c r="AH11" s="46">
        <f t="shared" ca="1" si="10"/>
        <v>0</v>
      </c>
      <c r="AI11" s="46">
        <f t="shared" ca="1" si="10"/>
        <v>0</v>
      </c>
      <c r="AJ11" s="46">
        <f t="shared" ca="1" si="10"/>
        <v>0</v>
      </c>
      <c r="AK11" s="46">
        <f t="shared" ca="1" si="10"/>
        <v>0</v>
      </c>
      <c r="AL11" s="46">
        <f t="shared" ca="1" si="10"/>
        <v>0</v>
      </c>
      <c r="AM11" s="46">
        <f t="shared" ca="1" si="10"/>
        <v>0</v>
      </c>
      <c r="AN11" s="46">
        <f t="shared" ca="1" si="10"/>
        <v>0</v>
      </c>
      <c r="AO11" s="46">
        <f t="shared" ca="1" si="10"/>
        <v>0</v>
      </c>
      <c r="AP11" s="46">
        <f t="shared" ca="1" si="10"/>
        <v>0</v>
      </c>
      <c r="AQ11" s="46">
        <f t="shared" ca="1" si="10"/>
        <v>0</v>
      </c>
      <c r="AR11" s="46">
        <f t="shared" ca="1" si="10"/>
        <v>0</v>
      </c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</row>
    <row r="12" spans="3:60" x14ac:dyDescent="0.25">
      <c r="C12" s="45" t="s">
        <v>100</v>
      </c>
      <c r="D12" s="46">
        <f t="shared" ref="D12:AR12" si="11">D9*Turb_Size_MW*10^6*Turb_OM_W</f>
        <v>0</v>
      </c>
      <c r="E12" s="46">
        <f t="shared" si="11"/>
        <v>159408888.88888887</v>
      </c>
      <c r="F12" s="46">
        <f t="shared" ca="1" si="11"/>
        <v>315303346.10732824</v>
      </c>
      <c r="G12" s="46">
        <f t="shared" ca="1" si="11"/>
        <v>467784827.69057977</v>
      </c>
      <c r="H12" s="46">
        <f t="shared" ca="1" si="11"/>
        <v>605498408.52435303</v>
      </c>
      <c r="I12" s="46">
        <f t="shared" ca="1" si="11"/>
        <v>744105509.11632276</v>
      </c>
      <c r="J12" s="46">
        <f t="shared" ca="1" si="11"/>
        <v>881752922.11837947</v>
      </c>
      <c r="K12" s="46">
        <f t="shared" ca="1" si="11"/>
        <v>1018693949.238927</v>
      </c>
      <c r="L12" s="46">
        <f t="shared" ca="1" si="11"/>
        <v>1154928173.6364884</v>
      </c>
      <c r="M12" s="46">
        <f t="shared" ca="1" si="11"/>
        <v>1290485379.5991652</v>
      </c>
      <c r="N12" s="46">
        <f t="shared" ca="1" si="11"/>
        <v>1425391406.5634825</v>
      </c>
      <c r="O12" s="46">
        <f t="shared" ca="1" si="11"/>
        <v>1559672263.2886035</v>
      </c>
      <c r="P12" s="46">
        <f t="shared" ca="1" si="11"/>
        <v>1693353639.6085598</v>
      </c>
      <c r="Q12" s="46">
        <f t="shared" ca="1" si="11"/>
        <v>1826460971.7212305</v>
      </c>
      <c r="R12" s="46">
        <f t="shared" ca="1" si="11"/>
        <v>1959019440.8033075</v>
      </c>
      <c r="S12" s="46">
        <f t="shared" ca="1" si="11"/>
        <v>2091053979.55826</v>
      </c>
      <c r="T12" s="46">
        <f t="shared" ca="1" si="11"/>
        <v>2222589277.7243857</v>
      </c>
      <c r="U12" s="46">
        <f t="shared" ca="1" si="11"/>
        <v>2353649787.6238575</v>
      </c>
      <c r="V12" s="46">
        <f t="shared" ca="1" si="11"/>
        <v>2484259729.6242833</v>
      </c>
      <c r="W12" s="46">
        <f t="shared" ca="1" si="11"/>
        <v>2614443097.5297527</v>
      </c>
      <c r="X12" s="46">
        <f t="shared" ca="1" si="11"/>
        <v>2744223663.9008203</v>
      </c>
      <c r="Y12" s="46">
        <f t="shared" ca="1" si="11"/>
        <v>2714216096.4160714</v>
      </c>
      <c r="Z12" s="46">
        <f t="shared" ca="1" si="11"/>
        <v>2709121993.3108563</v>
      </c>
      <c r="AA12" s="46">
        <f t="shared" ca="1" si="11"/>
        <v>2706549401.8453689</v>
      </c>
      <c r="AB12" s="46">
        <f t="shared" ca="1" si="11"/>
        <v>2720477131.0546737</v>
      </c>
      <c r="AC12" s="46">
        <f t="shared" ca="1" si="11"/>
        <v>2733310167.4733901</v>
      </c>
      <c r="AD12" s="46">
        <f t="shared" ca="1" si="11"/>
        <v>2749023865.8575869</v>
      </c>
      <c r="AE12" s="46">
        <f t="shared" ca="1" si="11"/>
        <v>2766862483.845644</v>
      </c>
      <c r="AF12" s="46">
        <f t="shared" ca="1" si="11"/>
        <v>2786897796.9186149</v>
      </c>
      <c r="AG12" s="46">
        <f t="shared" ca="1" si="11"/>
        <v>2809072351.0106711</v>
      </c>
      <c r="AH12" s="46">
        <f t="shared" ca="1" si="11"/>
        <v>2833349178.4712248</v>
      </c>
      <c r="AI12" s="46">
        <f t="shared" ca="1" si="11"/>
        <v>2859689596.5995064</v>
      </c>
      <c r="AJ12" s="46">
        <f t="shared" ca="1" si="11"/>
        <v>2888056356.4763985</v>
      </c>
      <c r="AK12" s="46">
        <f t="shared" ca="1" si="11"/>
        <v>2918413181.1442618</v>
      </c>
      <c r="AL12" s="46">
        <f t="shared" ca="1" si="11"/>
        <v>2950724806.1525207</v>
      </c>
      <c r="AM12" s="46">
        <f t="shared" ca="1" si="11"/>
        <v>2984956952.0045714</v>
      </c>
      <c r="AN12" s="46">
        <f t="shared" ca="1" si="11"/>
        <v>3021076306.2246614</v>
      </c>
      <c r="AO12" s="46">
        <f t="shared" ca="1" si="11"/>
        <v>3059050504.5921054</v>
      </c>
      <c r="AP12" s="46">
        <f t="shared" ca="1" si="11"/>
        <v>3098848112.9236488</v>
      </c>
      <c r="AQ12" s="46">
        <f t="shared" ca="1" si="11"/>
        <v>3140438609.2138667</v>
      </c>
      <c r="AR12" s="46">
        <f t="shared" ca="1" si="11"/>
        <v>3183792366.1503949</v>
      </c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</row>
    <row r="13" spans="3:60" x14ac:dyDescent="0.25">
      <c r="C13" s="45" t="s">
        <v>117</v>
      </c>
      <c r="D13" s="48">
        <f>D11+D7-D12</f>
        <v>8793200000</v>
      </c>
      <c r="E13" s="48">
        <f>E11+E7-E12</f>
        <v>8721723111.1111107</v>
      </c>
      <c r="F13" s="48">
        <f t="shared" ref="F13:AR13" ca="1" si="12">F11+F7-F12</f>
        <v>8654639973.8926716</v>
      </c>
      <c r="G13" s="48">
        <f t="shared" ca="1" si="12"/>
        <v>8591857925.5094185</v>
      </c>
      <c r="H13" s="48">
        <f t="shared" ca="1" si="12"/>
        <v>8544740772.2076473</v>
      </c>
      <c r="I13" s="48">
        <f t="shared" ca="1" si="12"/>
        <v>8497636063.4229975</v>
      </c>
      <c r="J13" s="48">
        <f t="shared" ca="1" si="12"/>
        <v>8452406066.1463337</v>
      </c>
      <c r="K13" s="48">
        <f t="shared" ca="1" si="12"/>
        <v>8408806628.908433</v>
      </c>
      <c r="L13" s="48">
        <f t="shared" ca="1" si="12"/>
        <v>8366847410.292345</v>
      </c>
      <c r="M13" s="48">
        <f t="shared" ca="1" si="12"/>
        <v>8326507960.1689587</v>
      </c>
      <c r="N13" s="48">
        <f t="shared" ca="1" si="12"/>
        <v>8287771866.6023216</v>
      </c>
      <c r="O13" s="48">
        <f t="shared" ca="1" si="12"/>
        <v>8250622642.6088591</v>
      </c>
      <c r="P13" s="48">
        <f t="shared" ca="1" si="12"/>
        <v>8215044215.3478785</v>
      </c>
      <c r="Q13" s="48">
        <f t="shared" ca="1" si="12"/>
        <v>8181020861.7847719</v>
      </c>
      <c r="R13" s="48">
        <f t="shared" ca="1" si="12"/>
        <v>8148537211.037755</v>
      </c>
      <c r="S13" s="48">
        <f t="shared" ca="1" si="12"/>
        <v>8117578238.8012142</v>
      </c>
      <c r="T13" s="48">
        <f t="shared" ca="1" si="12"/>
        <v>8088129262.8186836</v>
      </c>
      <c r="U13" s="48">
        <f t="shared" ca="1" si="12"/>
        <v>8060175938.3246422</v>
      </c>
      <c r="V13" s="48">
        <f t="shared" ca="1" si="12"/>
        <v>8033704253.5837021</v>
      </c>
      <c r="W13" s="48">
        <f t="shared" ca="1" si="12"/>
        <v>8008700525.510313</v>
      </c>
      <c r="X13" s="48">
        <f t="shared" ca="1" si="12"/>
        <v>7985151395.3696461</v>
      </c>
      <c r="Y13" s="48">
        <f t="shared" ca="1" si="12"/>
        <v>8122452713.4471016</v>
      </c>
      <c r="Z13" s="48">
        <f t="shared" ca="1" si="12"/>
        <v>8235913504.6509476</v>
      </c>
      <c r="AA13" s="48">
        <f t="shared" ca="1" si="12"/>
        <v>8347936451.0960522</v>
      </c>
      <c r="AB13" s="48">
        <f t="shared" ca="1" si="12"/>
        <v>8444553580.4161606</v>
      </c>
      <c r="AC13" s="48">
        <f t="shared" ca="1" si="12"/>
        <v>8543370851.112154</v>
      </c>
      <c r="AD13" s="48">
        <f t="shared" ca="1" si="12"/>
        <v>8640423962.9138107</v>
      </c>
      <c r="AE13" s="48">
        <f t="shared" ca="1" si="12"/>
        <v>8736479823.2134686</v>
      </c>
      <c r="AF13" s="48">
        <f t="shared" ca="1" si="12"/>
        <v>8831477933.2110882</v>
      </c>
      <c r="AG13" s="48">
        <f t="shared" ca="1" si="12"/>
        <v>8925487136.42033</v>
      </c>
      <c r="AH13" s="48">
        <f t="shared" ca="1" si="12"/>
        <v>9018555903.8340874</v>
      </c>
      <c r="AI13" s="48">
        <f t="shared" ca="1" si="12"/>
        <v>9110734536.5288582</v>
      </c>
      <c r="AJ13" s="48">
        <f t="shared" ca="1" si="12"/>
        <v>9202072017.9832516</v>
      </c>
      <c r="AK13" s="48">
        <f t="shared" ca="1" si="12"/>
        <v>9292616477.0599842</v>
      </c>
      <c r="AL13" s="48">
        <f t="shared" ca="1" si="12"/>
        <v>9382415148.6337681</v>
      </c>
      <c r="AM13" s="48">
        <f t="shared" ca="1" si="12"/>
        <v>9471514402.3295803</v>
      </c>
      <c r="AN13" s="48">
        <f t="shared" ca="1" si="12"/>
        <v>9559959761.652832</v>
      </c>
      <c r="AO13" s="48">
        <f t="shared" ca="1" si="12"/>
        <v>9647795923.9641628</v>
      </c>
      <c r="AP13" s="48">
        <f t="shared" ca="1" si="12"/>
        <v>9735066779.9181824</v>
      </c>
      <c r="AQ13" s="48">
        <f t="shared" ca="1" si="12"/>
        <v>9821815432.5563831</v>
      </c>
      <c r="AR13" s="48">
        <f t="shared" ca="1" si="12"/>
        <v>9908084216.0375576</v>
      </c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</row>
    <row r="14" spans="3:60" x14ac:dyDescent="0.25">
      <c r="C14" s="45" t="s">
        <v>113</v>
      </c>
      <c r="D14" s="9">
        <v>0</v>
      </c>
      <c r="E14" s="20">
        <f>SUM(E47:E56)</f>
        <v>0</v>
      </c>
      <c r="F14" s="20">
        <f t="shared" ref="F14:AR14" ca="1" si="13">SUM(F47:F56)</f>
        <v>0.87417777777777783</v>
      </c>
      <c r="G14" s="20">
        <f t="shared" ca="1" si="13"/>
        <v>1.7290828657498645</v>
      </c>
      <c r="H14" s="20">
        <f t="shared" ca="1" si="13"/>
        <v>2.5652716357225347</v>
      </c>
      <c r="I14" s="20">
        <f t="shared" ca="1" si="13"/>
        <v>3.3204751435206457</v>
      </c>
      <c r="J14" s="20">
        <f t="shared" ca="1" si="13"/>
        <v>4.0805785983798355</v>
      </c>
      <c r="K14" s="20">
        <f t="shared" ca="1" si="13"/>
        <v>4.8354192503265976</v>
      </c>
      <c r="L14" s="20">
        <f t="shared" ca="1" si="13"/>
        <v>5.5863861732457298</v>
      </c>
      <c r="M14" s="20">
        <f t="shared" ca="1" si="13"/>
        <v>6.3334770812323571</v>
      </c>
      <c r="N14" s="20">
        <f t="shared" ca="1" si="13"/>
        <v>7.0768553074792937</v>
      </c>
      <c r="O14" s="20">
        <f t="shared" ca="1" si="13"/>
        <v>7.8166625521223247</v>
      </c>
      <c r="P14" s="20">
        <f t="shared" ca="1" si="13"/>
        <v>8.5530414438407316</v>
      </c>
      <c r="Q14" s="20">
        <f t="shared" ca="1" si="13"/>
        <v>9.2861328623695218</v>
      </c>
      <c r="R14" s="20">
        <f t="shared" ca="1" si="13"/>
        <v>10.016076296535783</v>
      </c>
      <c r="S14" s="20">
        <f t="shared" ca="1" si="13"/>
        <v>10.743009836663299</v>
      </c>
      <c r="T14" s="20">
        <f t="shared" ca="1" si="13"/>
        <v>11.467070210480781</v>
      </c>
      <c r="U14" s="20">
        <f t="shared" ca="1" si="13"/>
        <v>12.188392813327276</v>
      </c>
      <c r="V14" s="20">
        <f t="shared" ca="1" si="13"/>
        <v>12.907111738582445</v>
      </c>
      <c r="W14" s="20">
        <f t="shared" ca="1" si="13"/>
        <v>13.623359807617039</v>
      </c>
      <c r="X14" s="20">
        <f t="shared" ca="1" si="13"/>
        <v>14.337268599356708</v>
      </c>
      <c r="Y14" s="20">
        <f t="shared" ca="1" si="13"/>
        <v>15.048968479456112</v>
      </c>
      <c r="Z14" s="20">
        <f t="shared" ca="1" si="13"/>
        <v>14.884410851313939</v>
      </c>
      <c r="AA14" s="20">
        <f t="shared" ca="1" si="13"/>
        <v>14.856475447188568</v>
      </c>
      <c r="AB14" s="20">
        <f t="shared" ca="1" si="13"/>
        <v>14.84236768753912</v>
      </c>
      <c r="AC14" s="20">
        <f t="shared" ca="1" si="13"/>
        <v>14.918745557396601</v>
      </c>
      <c r="AD14" s="20">
        <f t="shared" ca="1" si="13"/>
        <v>14.989120273241173</v>
      </c>
      <c r="AE14" s="20">
        <f t="shared" ca="1" si="13"/>
        <v>15.075292167606124</v>
      </c>
      <c r="AF14" s="20">
        <f t="shared" ca="1" si="13"/>
        <v>15.17311684689547</v>
      </c>
      <c r="AG14" s="20">
        <f t="shared" ca="1" si="13"/>
        <v>15.282987918585956</v>
      </c>
      <c r="AH14" s="20">
        <f t="shared" ca="1" si="13"/>
        <v>15.404590311994006</v>
      </c>
      <c r="AI14" s="20">
        <f t="shared" ca="1" si="13"/>
        <v>15.537721301293816</v>
      </c>
      <c r="AJ14" s="20">
        <f t="shared" ca="1" si="13"/>
        <v>15.682168755545684</v>
      </c>
      <c r="AK14" s="20">
        <f t="shared" ca="1" si="13"/>
        <v>15.837728406483476</v>
      </c>
      <c r="AL14" s="20">
        <f t="shared" ca="1" si="13"/>
        <v>16.004201315952404</v>
      </c>
      <c r="AM14" s="20">
        <f t="shared" ca="1" si="13"/>
        <v>16.181394098255758</v>
      </c>
      <c r="AN14" s="20">
        <f t="shared" ca="1" si="13"/>
        <v>16.369118769057327</v>
      </c>
      <c r="AO14" s="20">
        <f t="shared" ca="1" si="13"/>
        <v>16.567192647038468</v>
      </c>
      <c r="AP14" s="20">
        <f t="shared" ca="1" si="13"/>
        <v>16.775438250988966</v>
      </c>
      <c r="AQ14" s="20">
        <f t="shared" ca="1" si="13"/>
        <v>16.993683199903881</v>
      </c>
      <c r="AR14" s="20">
        <f t="shared" ca="1" si="13"/>
        <v>17.221760115043789</v>
      </c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</row>
    <row r="15" spans="3:60" x14ac:dyDescent="0.25">
      <c r="C15" s="45" t="s">
        <v>147</v>
      </c>
      <c r="D15" s="9"/>
      <c r="E15" s="20">
        <f>SUM(E60:E69)</f>
        <v>0.87417777777777783</v>
      </c>
      <c r="F15" s="20">
        <f t="shared" ref="F15:AR15" ca="1" si="14">SUM(F60:F69)</f>
        <v>0.85490508797208675</v>
      </c>
      <c r="G15" s="20">
        <f t="shared" ca="1" si="14"/>
        <v>0.83618876997267022</v>
      </c>
      <c r="H15" s="20">
        <f t="shared" ca="1" si="14"/>
        <v>0.75520350779811096</v>
      </c>
      <c r="I15" s="20">
        <f t="shared" ca="1" si="14"/>
        <v>0.76010345485918984</v>
      </c>
      <c r="J15" s="20">
        <f t="shared" ca="1" si="14"/>
        <v>0.75484065194676209</v>
      </c>
      <c r="K15" s="20">
        <f t="shared" ca="1" si="14"/>
        <v>0.75096692291913225</v>
      </c>
      <c r="L15" s="20">
        <f t="shared" ca="1" si="14"/>
        <v>0.74709090798662681</v>
      </c>
      <c r="M15" s="20">
        <f t="shared" ca="1" si="14"/>
        <v>0.74337822624693661</v>
      </c>
      <c r="N15" s="20">
        <f t="shared" ca="1" si="14"/>
        <v>0.73980724464303105</v>
      </c>
      <c r="O15" s="20">
        <f t="shared" ca="1" si="14"/>
        <v>0.73637889171840687</v>
      </c>
      <c r="P15" s="20">
        <f t="shared" ca="1" si="14"/>
        <v>0.73309141852879023</v>
      </c>
      <c r="Q15" s="20">
        <f t="shared" ca="1" si="14"/>
        <v>0.72994343416626073</v>
      </c>
      <c r="R15" s="20">
        <f t="shared" ca="1" si="14"/>
        <v>0.72693354012751676</v>
      </c>
      <c r="S15" s="20">
        <f t="shared" ca="1" si="14"/>
        <v>0.72406037381748156</v>
      </c>
      <c r="T15" s="20">
        <f t="shared" ca="1" si="14"/>
        <v>0.72132260284649519</v>
      </c>
      <c r="U15" s="20">
        <f t="shared" ca="1" si="14"/>
        <v>0.71871892525516934</v>
      </c>
      <c r="V15" s="20">
        <f t="shared" ca="1" si="14"/>
        <v>0.71624806903459337</v>
      </c>
      <c r="W15" s="20">
        <f t="shared" ca="1" si="14"/>
        <v>0.71390879173966937</v>
      </c>
      <c r="X15" s="20">
        <f t="shared" ca="1" si="14"/>
        <v>0.71169988009940433</v>
      </c>
      <c r="Y15" s="20">
        <f t="shared" ca="1" si="14"/>
        <v>-0.16455762814217323</v>
      </c>
      <c r="Z15" s="20">
        <f t="shared" ca="1" si="14"/>
        <v>-2.7935404125370766E-2</v>
      </c>
      <c r="AA15" s="20">
        <f t="shared" ca="1" si="14"/>
        <v>-1.4107759649448326E-2</v>
      </c>
      <c r="AB15" s="20">
        <f t="shared" ca="1" si="14"/>
        <v>7.6377869857481073E-2</v>
      </c>
      <c r="AC15" s="20">
        <f t="shared" ca="1" si="14"/>
        <v>7.0374715844572222E-2</v>
      </c>
      <c r="AD15" s="20">
        <f t="shared" ca="1" si="14"/>
        <v>8.6171894364950319E-2</v>
      </c>
      <c r="AE15" s="20">
        <f t="shared" ca="1" si="14"/>
        <v>9.7824679289345795E-2</v>
      </c>
      <c r="AF15" s="20">
        <f t="shared" ca="1" si="14"/>
        <v>0.10987107169048649</v>
      </c>
      <c r="AG15" s="20">
        <f t="shared" ca="1" si="14"/>
        <v>0.12160239340805035</v>
      </c>
      <c r="AH15" s="20">
        <f t="shared" ca="1" si="14"/>
        <v>0.1331309892998096</v>
      </c>
      <c r="AI15" s="20">
        <f t="shared" ca="1" si="14"/>
        <v>0.14444745425186767</v>
      </c>
      <c r="AJ15" s="20">
        <f t="shared" ca="1" si="14"/>
        <v>0.15555965093779278</v>
      </c>
      <c r="AK15" s="20">
        <f t="shared" ca="1" si="14"/>
        <v>0.16647290946892745</v>
      </c>
      <c r="AL15" s="20">
        <f t="shared" ca="1" si="14"/>
        <v>0.17719278230335433</v>
      </c>
      <c r="AM15" s="20">
        <f t="shared" ca="1" si="14"/>
        <v>0.18772467080156829</v>
      </c>
      <c r="AN15" s="20">
        <f t="shared" ca="1" si="14"/>
        <v>0.19807387798114107</v>
      </c>
      <c r="AO15" s="20">
        <f t="shared" ca="1" si="14"/>
        <v>0.20824560395049829</v>
      </c>
      <c r="AP15" s="20">
        <f t="shared" ca="1" si="14"/>
        <v>0.21824494891491497</v>
      </c>
      <c r="AQ15" s="20">
        <f t="shared" ca="1" si="14"/>
        <v>0.22807691513990846</v>
      </c>
      <c r="AR15" s="20">
        <f t="shared" ca="1" si="14"/>
        <v>0.23774640900676403</v>
      </c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</row>
    <row r="16" spans="3:60" x14ac:dyDescent="0.25">
      <c r="C16" s="45" t="s">
        <v>114</v>
      </c>
      <c r="D16" s="9"/>
      <c r="E16" s="46">
        <f>SUMPRODUCT(E60:E69,$A$60:$A$69)*'Dashboard and Input Variables'!$B$33*1000*'Dashboard and Input Variables'!$B$35</f>
        <v>122383696.80365297</v>
      </c>
      <c r="F16" s="46">
        <f ca="1">SUMPRODUCT(F60:F69,$A$60:$A$69)*'Dashboard and Input Variables'!$B$33*1000*'Dashboard and Input Variables'!$B$35</f>
        <v>243564699.46169782</v>
      </c>
      <c r="G16" s="46">
        <f ca="1">SUMPRODUCT(G60:G69,$A$60:$A$69)*'Dashboard and Input Variables'!$B$33*1000*'Dashboard and Input Variables'!$B$35</f>
        <v>995399111.77546656</v>
      </c>
      <c r="H16" s="46">
        <f ca="1">SUMPRODUCT(H60:H69,$A$60:$A$69)*'Dashboard and Input Variables'!$B$33*1000*'Dashboard and Input Variables'!$B$35</f>
        <v>898994255.68287134</v>
      </c>
      <c r="I16" s="46">
        <f ca="1">SUMPRODUCT(I60:I69,$A$60:$A$69)*'Dashboard and Input Variables'!$B$33*1000*'Dashboard and Input Variables'!$B$35</f>
        <v>904827152.66437972</v>
      </c>
      <c r="J16" s="46">
        <f ca="1">SUMPRODUCT(J60:J69,$A$60:$A$69)*'Dashboard and Input Variables'!$B$33*1000*'Dashboard and Input Variables'!$B$35</f>
        <v>898562312.07742548</v>
      </c>
      <c r="K16" s="46">
        <f ca="1">SUMPRODUCT(K60:K69,$A$60:$A$69)*'Dashboard and Input Variables'!$B$33*1000*'Dashboard and Input Variables'!$B$35</f>
        <v>893951025.04293501</v>
      </c>
      <c r="L16" s="46">
        <f ca="1">SUMPRODUCT(L60:L69,$A$60:$A$69)*'Dashboard and Input Variables'!$B$33*1000*'Dashboard and Input Variables'!$B$35</f>
        <v>889337016.86728084</v>
      </c>
      <c r="M16" s="46">
        <f ca="1">SUMPRODUCT(M60:M69,$A$60:$A$69)*'Dashboard and Input Variables'!$B$33*1000*'Dashboard and Input Variables'!$B$35</f>
        <v>884917440.52435315</v>
      </c>
      <c r="N16" s="46">
        <f ca="1">SUMPRODUCT(N60:N69,$A$60:$A$69)*'Dashboard and Input Variables'!$B$33*1000*'Dashboard and Input Variables'!$B$35</f>
        <v>880666544.02306426</v>
      </c>
      <c r="O16" s="46">
        <f ca="1">SUMPRODUCT(O60:O69,$A$60:$A$69)*'Dashboard and Input Variables'!$B$33*1000*'Dashboard and Input Variables'!$B$35</f>
        <v>876585432.70159125</v>
      </c>
      <c r="P16" s="46">
        <f ca="1">SUMPRODUCT(P60:P69,$A$60:$A$69)*'Dashboard and Input Variables'!$B$33*1000*'Dashboard and Input Variables'!$B$35</f>
        <v>872672024.6166718</v>
      </c>
      <c r="Q16" s="46">
        <f ca="1">SUMPRODUCT(Q60:Q69,$A$60:$A$69)*'Dashboard and Input Variables'!$B$33*1000*'Dashboard and Input Variables'!$B$35</f>
        <v>868924664.03151667</v>
      </c>
      <c r="R16" s="46">
        <f ca="1">SUMPRODUCT(R60:R69,$A$60:$A$69)*'Dashboard and Input Variables'!$B$33*1000*'Dashboard and Input Variables'!$B$35</f>
        <v>865341686.16779602</v>
      </c>
      <c r="S16" s="46">
        <f ca="1">SUMPRODUCT(S60:S69,$A$60:$A$69)*'Dashboard and Input Variables'!$B$33*1000*'Dashboard and Input Variables'!$B$35</f>
        <v>861921468.99233007</v>
      </c>
      <c r="T16" s="46">
        <f ca="1">SUMPRODUCT(T60:T69,$A$60:$A$69)*'Dashboard and Input Variables'!$B$33*1000*'Dashboard and Input Variables'!$B$35</f>
        <v>858662426.42846787</v>
      </c>
      <c r="U16" s="46">
        <f ca="1">SUMPRODUCT(U60:U69,$A$60:$A$69)*'Dashboard and Input Variables'!$B$33*1000*'Dashboard and Input Variables'!$B$35</f>
        <v>855563008.62375343</v>
      </c>
      <c r="V16" s="46">
        <f ca="1">SUMPRODUCT(V60:V69,$A$60:$A$69)*'Dashboard and Input Variables'!$B$33*1000*'Dashboard and Input Variables'!$B$35</f>
        <v>852621701.37877989</v>
      </c>
      <c r="W16" s="46">
        <f ca="1">SUMPRODUCT(W60:W69,$A$60:$A$69)*'Dashboard and Input Variables'!$B$33*1000*'Dashboard and Input Variables'!$B$35</f>
        <v>849837025.6869024</v>
      </c>
      <c r="X16" s="46">
        <f ca="1">SUMPRODUCT(X60:X69,$A$60:$A$69)*'Dashboard and Input Variables'!$B$33*1000*'Dashboard and Input Variables'!$B$35</f>
        <v>847207537.27033079</v>
      </c>
      <c r="Y16" s="46">
        <f ca="1">SUMPRODUCT(Y60:Y69,$A$60:$A$69)*'Dashboard and Input Variables'!$B$33*1000*'Dashboard and Input Variables'!$B$35</f>
        <v>-195889400.54044303</v>
      </c>
      <c r="Z16" s="46">
        <f ca="1">SUMPRODUCT(Z60:Z69,$A$60:$A$69)*'Dashboard and Input Variables'!$B$33*1000*'Dashboard and Input Variables'!$B$35</f>
        <v>-33254305.070841357</v>
      </c>
      <c r="AA16" s="46">
        <f ca="1">SUMPRODUCT(AA60:AA69,$A$60:$A$69)*'Dashboard and Input Variables'!$B$33*1000*'Dashboard and Input Variables'!$B$35</f>
        <v>-16793877.086703286</v>
      </c>
      <c r="AB16" s="46">
        <f ca="1">SUMPRODUCT(AB60:AB69,$A$60:$A$69)*'Dashboard and Input Variables'!$B$33*1000*'Dashboard and Input Variables'!$B$35</f>
        <v>90920216.278345466</v>
      </c>
      <c r="AC16" s="46">
        <f ca="1">SUMPRODUCT(AC60:AC69,$A$60:$A$69)*'Dashboard and Input Variables'!$B$33*1000*'Dashboard and Input Variables'!$B$35</f>
        <v>83774061.741378769</v>
      </c>
      <c r="AD16" s="46">
        <f ca="1">SUMPRODUCT(AD60:AD69,$A$60:$A$69)*'Dashboard and Input Variables'!$B$33*1000*'Dashboard and Input Variables'!$B$35</f>
        <v>102579023.05203687</v>
      </c>
      <c r="AE16" s="46">
        <f ca="1">SUMPRODUCT(AE60:AE69,$A$60:$A$69)*'Dashboard and Input Variables'!$B$33*1000*'Dashboard and Input Variables'!$B$35</f>
        <v>116450498.22603723</v>
      </c>
      <c r="AF16" s="46">
        <f ca="1">SUMPRODUCT(AF60:AF69,$A$60:$A$69)*'Dashboard and Input Variables'!$B$33*1000*'Dashboard and Input Variables'!$B$35</f>
        <v>130790523.74035512</v>
      </c>
      <c r="AG16" s="46">
        <f ca="1">SUMPRODUCT(AG60:AG69,$A$60:$A$69)*'Dashboard and Input Variables'!$B$33*1000*'Dashboard and Input Variables'!$B$35</f>
        <v>144755489.11294311</v>
      </c>
      <c r="AH16" s="46">
        <f ca="1">SUMPRODUCT(AH60:AH69,$A$60:$A$69)*'Dashboard and Input Variables'!$B$33*1000*'Dashboard and Input Variables'!$B$35</f>
        <v>158479129.66249335</v>
      </c>
      <c r="AI16" s="46">
        <f ca="1">SUMPRODUCT(AI60:AI69,$A$60:$A$69)*'Dashboard and Input Variables'!$B$33*1000*'Dashboard and Input Variables'!$B$35</f>
        <v>171950249.54142329</v>
      </c>
      <c r="AJ16" s="46">
        <f ca="1">SUMPRODUCT(AJ60:AJ69,$A$60:$A$69)*'Dashboard and Input Variables'!$B$33*1000*'Dashboard and Input Variables'!$B$35</f>
        <v>185178208.47634852</v>
      </c>
      <c r="AK16" s="46">
        <f ca="1">SUMPRODUCT(AK60:AK69,$A$60:$A$69)*'Dashboard and Input Variables'!$B$33*1000*'Dashboard and Input Variables'!$B$35</f>
        <v>198169351.43181121</v>
      </c>
      <c r="AL16" s="46">
        <f ca="1">SUMPRODUCT(AL60:AL69,$A$60:$A$69)*'Dashboard and Input Variables'!$B$33*1000*'Dashboard and Input Variables'!$B$35</f>
        <v>210930288.05391303</v>
      </c>
      <c r="AM16" s="46">
        <f ca="1">SUMPRODUCT(AM60:AM69,$A$60:$A$69)*'Dashboard and Input Variables'!$B$33*1000*'Dashboard and Input Variables'!$B$35</f>
        <v>223467448.1221869</v>
      </c>
      <c r="AN16" s="46">
        <f ca="1">SUMPRODUCT(AN60:AN69,$A$60:$A$69)*'Dashboard and Input Variables'!$B$33*1000*'Dashboard and Input Variables'!$B$35</f>
        <v>235787144.34875032</v>
      </c>
      <c r="AO16" s="46">
        <f ca="1">SUMPRODUCT(AO60:AO69,$A$60:$A$69)*'Dashboard and Input Variables'!$B$33*1000*'Dashboard and Input Variables'!$B$35</f>
        <v>247895566.94267318</v>
      </c>
      <c r="AP16" s="46">
        <f ca="1">SUMPRODUCT(AP60:AP69,$A$60:$A$69)*'Dashboard and Input Variables'!$B$33*1000*'Dashboard and Input Variables'!$B$35</f>
        <v>259798787.18831477</v>
      </c>
      <c r="AQ16" s="46">
        <f ca="1">SUMPRODUCT(AQ60:AQ69,$A$60:$A$69)*'Dashboard and Input Variables'!$B$33*1000*'Dashboard and Input Variables'!$B$35</f>
        <v>271502759.782547</v>
      </c>
      <c r="AR16" s="46">
        <f ca="1">SUMPRODUCT(AR60:AR69,$A$60:$A$69)*'Dashboard and Input Variables'!$B$33*1000*'Dashboard and Input Variables'!$B$35</f>
        <v>283013325.28165191</v>
      </c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</row>
    <row r="17" spans="3:60" x14ac:dyDescent="0.25">
      <c r="C17" s="45" t="s">
        <v>183</v>
      </c>
      <c r="D17" s="9"/>
      <c r="E17" s="46">
        <f>SUMPRODUCT(E60:E69,$B$60:$B$69)*'Dashboard and Input Variables'!$B$33*1000*'Dashboard and Input Variables'!$B$35</f>
        <v>122383696.80365297</v>
      </c>
      <c r="F17" s="46">
        <f ca="1">SUMPRODUCT(F60:F69,$B$60:$B$69)*'Dashboard and Input Variables'!$B$33*1000*'Dashboard and Input Variables'!$B$35</f>
        <v>159012346.36280811</v>
      </c>
      <c r="G17" s="46">
        <f ca="1">SUMPRODUCT(G60:G69,$B$60:$B$69)*'Dashboard and Input Variables'!$B$33*1000*'Dashboard and Input Variables'!$B$35</f>
        <v>155531111.21491665</v>
      </c>
      <c r="H17" s="46">
        <f ca="1">SUMPRODUCT(H60:H69,$B$60:$B$69)*'Dashboard and Input Variables'!$B$33*1000*'Dashboard and Input Variables'!$B$35</f>
        <v>140467852.45044863</v>
      </c>
      <c r="I17" s="46">
        <f ca="1">SUMPRODUCT(I60:I69,$B$60:$B$69)*'Dashboard and Input Variables'!$B$33*1000*'Dashboard and Input Variables'!$B$35</f>
        <v>141379242.6038093</v>
      </c>
      <c r="J17" s="46">
        <f ca="1">SUMPRODUCT(J60:J69,$B$60:$B$69)*'Dashboard and Input Variables'!$B$33*1000*'Dashboard and Input Variables'!$B$35</f>
        <v>140400361.26209775</v>
      </c>
      <c r="K17" s="46">
        <f ca="1">SUMPRODUCT(K60:K69,$B$60:$B$69)*'Dashboard and Input Variables'!$B$33*1000*'Dashboard and Input Variables'!$B$35</f>
        <v>139679847.66295862</v>
      </c>
      <c r="L17" s="46">
        <f ca="1">SUMPRODUCT(L60:L69,$B$60:$B$69)*'Dashboard and Input Variables'!$B$33*1000*'Dashboard and Input Variables'!$B$35</f>
        <v>138958908.88551259</v>
      </c>
      <c r="M17" s="46">
        <f ca="1">SUMPRODUCT(M60:M69,$B$60:$B$69)*'Dashboard and Input Variables'!$B$33*1000*'Dashboard and Input Variables'!$B$35</f>
        <v>138268350.08193019</v>
      </c>
      <c r="N17" s="46">
        <f ca="1">SUMPRODUCT(N60:N69,$B$60:$B$69)*'Dashboard and Input Variables'!$B$33*1000*'Dashboard and Input Variables'!$B$35</f>
        <v>137604147.50360379</v>
      </c>
      <c r="O17" s="46">
        <f ca="1">SUMPRODUCT(O60:O69,$B$60:$B$69)*'Dashboard and Input Variables'!$B$33*1000*'Dashboard and Input Variables'!$B$35</f>
        <v>136966473.8596237</v>
      </c>
      <c r="P17" s="46">
        <f ca="1">SUMPRODUCT(P60:P69,$B$60:$B$69)*'Dashboard and Input Variables'!$B$33*1000*'Dashboard and Input Variables'!$B$35</f>
        <v>136355003.84635499</v>
      </c>
      <c r="Q17" s="46">
        <f ca="1">SUMPRODUCT(Q60:Q69,$B$60:$B$69)*'Dashboard and Input Variables'!$B$33*1000*'Dashboard and Input Variables'!$B$35</f>
        <v>135769478.75492451</v>
      </c>
      <c r="R17" s="46">
        <f ca="1">SUMPRODUCT(R60:R69,$B$60:$B$69)*'Dashboard and Input Variables'!$B$33*1000*'Dashboard and Input Variables'!$B$35</f>
        <v>135209638.46371812</v>
      </c>
      <c r="S17" s="46">
        <f ca="1">SUMPRODUCT(S60:S69,$B$60:$B$69)*'Dashboard and Input Variables'!$B$33*1000*'Dashboard and Input Variables'!$B$35</f>
        <v>134675229.53005159</v>
      </c>
      <c r="T17" s="46">
        <f ca="1">SUMPRODUCT(T60:T69,$B$60:$B$69)*'Dashboard and Input Variables'!$B$33*1000*'Dashboard and Input Variables'!$B$35</f>
        <v>134166004.12944812</v>
      </c>
      <c r="U17" s="46">
        <f ca="1">SUMPRODUCT(U60:U69,$B$60:$B$69)*'Dashboard and Input Variables'!$B$33*1000*'Dashboard and Input Variables'!$B$35</f>
        <v>133681720.09746148</v>
      </c>
      <c r="V17" s="46">
        <f ca="1">SUMPRODUCT(V60:V69,$B$60:$B$69)*'Dashboard and Input Variables'!$B$33*1000*'Dashboard and Input Variables'!$B$35</f>
        <v>133222140.84043439</v>
      </c>
      <c r="W17" s="46">
        <f ca="1">SUMPRODUCT(W60:W69,$B$60:$B$69)*'Dashboard and Input Variables'!$B$33*1000*'Dashboard and Input Variables'!$B$35</f>
        <v>132787035.26357849</v>
      </c>
      <c r="X17" s="46">
        <f ca="1">SUMPRODUCT(X60:X69,$B$60:$B$69)*'Dashboard and Input Variables'!$B$33*1000*'Dashboard and Input Variables'!$B$35</f>
        <v>132376177.69848922</v>
      </c>
      <c r="Y17" s="46">
        <f ca="1">SUMPRODUCT(Y60:Y69,$B$60:$B$69)*'Dashboard and Input Variables'!$B$33*1000*'Dashboard and Input Variables'!$B$35</f>
        <v>-30607718.834444221</v>
      </c>
      <c r="Z17" s="46">
        <f ca="1">SUMPRODUCT(Z60:Z69,$B$60:$B$69)*'Dashboard and Input Variables'!$B$33*1000*'Dashboard and Input Variables'!$B$35</f>
        <v>-5195985.1673189625</v>
      </c>
      <c r="AA17" s="46">
        <f ca="1">SUMPRODUCT(AA60:AA69,$B$60:$B$69)*'Dashboard and Input Variables'!$B$33*1000*'Dashboard and Input Variables'!$B$35</f>
        <v>-2624043.2947973888</v>
      </c>
      <c r="AB17" s="46">
        <f ca="1">SUMPRODUCT(AB60:AB69,$B$60:$B$69)*'Dashboard and Input Variables'!$B$33*1000*'Dashboard and Input Variables'!$B$35</f>
        <v>14206283.793491479</v>
      </c>
      <c r="AC17" s="46">
        <f ca="1">SUMPRODUCT(AC60:AC69,$B$60:$B$69)*'Dashboard and Input Variables'!$B$33*1000*'Dashboard and Input Variables'!$B$35</f>
        <v>13089697.147090433</v>
      </c>
      <c r="AD17" s="46">
        <f ca="1">SUMPRODUCT(AD60:AD69,$B$60:$B$69)*'Dashboard and Input Variables'!$B$33*1000*'Dashboard and Input Variables'!$B$35</f>
        <v>16027972.351880759</v>
      </c>
      <c r="AE17" s="46">
        <f ca="1">SUMPRODUCT(AE60:AE69,$B$60:$B$69)*'Dashboard and Input Variables'!$B$33*1000*'Dashboard and Input Variables'!$B$35</f>
        <v>18195390.347818315</v>
      </c>
      <c r="AF17" s="46">
        <f ca="1">SUMPRODUCT(AF60:AF69,$B$60:$B$69)*'Dashboard and Input Variables'!$B$33*1000*'Dashboard and Input Variables'!$B$35</f>
        <v>20436019.334430486</v>
      </c>
      <c r="AG17" s="46">
        <f ca="1">SUMPRODUCT(AG60:AG69,$B$60:$B$69)*'Dashboard and Input Variables'!$B$33*1000*'Dashboard and Input Variables'!$B$35</f>
        <v>22618045.173897363</v>
      </c>
      <c r="AH17" s="46">
        <f ca="1">SUMPRODUCT(AH60:AH69,$B$60:$B$69)*'Dashboard and Input Variables'!$B$33*1000*'Dashboard and Input Variables'!$B$35</f>
        <v>24762364.009764586</v>
      </c>
      <c r="AI17" s="46">
        <f ca="1">SUMPRODUCT(AI60:AI69,$B$60:$B$69)*'Dashboard and Input Variables'!$B$33*1000*'Dashboard and Input Variables'!$B$35</f>
        <v>26867226.490847386</v>
      </c>
      <c r="AJ17" s="46">
        <f ca="1">SUMPRODUCT(AJ60:AJ69,$B$60:$B$69)*'Dashboard and Input Variables'!$B$33*1000*'Dashboard and Input Variables'!$B$35</f>
        <v>28934095.074429456</v>
      </c>
      <c r="AK17" s="46">
        <f ca="1">SUMPRODUCT(AK60:AK69,$B$60:$B$69)*'Dashboard and Input Variables'!$B$33*1000*'Dashboard and Input Variables'!$B$35</f>
        <v>30963961.16122051</v>
      </c>
      <c r="AL17" s="46">
        <f ca="1">SUMPRODUCT(AL60:AL69,$B$60:$B$69)*'Dashboard and Input Variables'!$B$33*1000*'Dashboard and Input Variables'!$B$35</f>
        <v>32957857.508423906</v>
      </c>
      <c r="AM17" s="46">
        <f ca="1">SUMPRODUCT(AM60:AM69,$B$60:$B$69)*'Dashboard and Input Variables'!$B$33*1000*'Dashboard and Input Variables'!$B$35</f>
        <v>34916788.769091703</v>
      </c>
      <c r="AN17" s="46">
        <f ca="1">SUMPRODUCT(AN60:AN69,$B$60:$B$69)*'Dashboard and Input Variables'!$B$33*1000*'Dashboard and Input Variables'!$B$35</f>
        <v>36841741.304492235</v>
      </c>
      <c r="AO17" s="46">
        <f ca="1">SUMPRODUCT(AO60:AO69,$B$60:$B$69)*'Dashboard and Input Variables'!$B$33*1000*'Dashboard and Input Variables'!$B$35</f>
        <v>38733682.334792681</v>
      </c>
      <c r="AP17" s="46">
        <f ca="1">SUMPRODUCT(AP60:AP69,$B$60:$B$69)*'Dashboard and Input Variables'!$B$33*1000*'Dashboard and Input Variables'!$B$35</f>
        <v>40593560.498174183</v>
      </c>
      <c r="AQ17" s="46">
        <f ca="1">SUMPRODUCT(AQ60:AQ69,$B$60:$B$69)*'Dashboard and Input Variables'!$B$33*1000*'Dashboard and Input Variables'!$B$35</f>
        <v>42422306.216022976</v>
      </c>
      <c r="AR17" s="46">
        <f ca="1">SUMPRODUCT(AR60:AR69,$B$60:$B$69)*'Dashboard and Input Variables'!$B$33*1000*'Dashboard and Input Variables'!$B$35</f>
        <v>44220832.075258106</v>
      </c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</row>
    <row r="18" spans="3:60" x14ac:dyDescent="0.25">
      <c r="C18" s="45" t="s">
        <v>182</v>
      </c>
      <c r="D18" s="9"/>
      <c r="E18" s="46">
        <f>E16-E17</f>
        <v>0</v>
      </c>
      <c r="F18" s="46">
        <f t="shared" ref="F18:AR18" ca="1" si="15">F16-F17</f>
        <v>84552353.098889709</v>
      </c>
      <c r="G18" s="46">
        <f t="shared" ca="1" si="15"/>
        <v>839868000.56054997</v>
      </c>
      <c r="H18" s="46">
        <f t="shared" ca="1" si="15"/>
        <v>758526403.23242271</v>
      </c>
      <c r="I18" s="46">
        <f t="shared" ca="1" si="15"/>
        <v>763447910.06057048</v>
      </c>
      <c r="J18" s="46">
        <f t="shared" ca="1" si="15"/>
        <v>758161950.81532776</v>
      </c>
      <c r="K18" s="46">
        <f t="shared" ca="1" si="15"/>
        <v>754271177.37997639</v>
      </c>
      <c r="L18" s="46">
        <f t="shared" ca="1" si="15"/>
        <v>750378107.98176825</v>
      </c>
      <c r="M18" s="46">
        <f t="shared" ca="1" si="15"/>
        <v>746649090.44242299</v>
      </c>
      <c r="N18" s="46">
        <f t="shared" ca="1" si="15"/>
        <v>743062396.51946044</v>
      </c>
      <c r="O18" s="46">
        <f t="shared" ca="1" si="15"/>
        <v>739618958.84196758</v>
      </c>
      <c r="P18" s="46">
        <f t="shared" ca="1" si="15"/>
        <v>736317020.77031684</v>
      </c>
      <c r="Q18" s="46">
        <f t="shared" ca="1" si="15"/>
        <v>733155185.27659214</v>
      </c>
      <c r="R18" s="46">
        <f t="shared" ca="1" si="15"/>
        <v>730132047.70407796</v>
      </c>
      <c r="S18" s="46">
        <f t="shared" ca="1" si="15"/>
        <v>727246239.46227849</v>
      </c>
      <c r="T18" s="46">
        <f t="shared" ca="1" si="15"/>
        <v>724496422.29901981</v>
      </c>
      <c r="U18" s="46">
        <f t="shared" ca="1" si="15"/>
        <v>721881288.52629197</v>
      </c>
      <c r="V18" s="46">
        <f t="shared" ca="1" si="15"/>
        <v>719399560.53834546</v>
      </c>
      <c r="W18" s="46">
        <f t="shared" ca="1" si="15"/>
        <v>717049990.42332387</v>
      </c>
      <c r="X18" s="46">
        <f t="shared" ca="1" si="15"/>
        <v>714831359.5718416</v>
      </c>
      <c r="Y18" s="46">
        <f t="shared" ca="1" si="15"/>
        <v>-165281681.70599881</v>
      </c>
      <c r="Z18" s="46">
        <f t="shared" ca="1" si="15"/>
        <v>-28058319.903522395</v>
      </c>
      <c r="AA18" s="46">
        <f t="shared" ca="1" si="15"/>
        <v>-14169833.791905897</v>
      </c>
      <c r="AB18" s="46">
        <f t="shared" ca="1" si="15"/>
        <v>76713932.484853983</v>
      </c>
      <c r="AC18" s="46">
        <f t="shared" ca="1" si="15"/>
        <v>70684364.594288334</v>
      </c>
      <c r="AD18" s="46">
        <f t="shared" ca="1" si="15"/>
        <v>86551050.700156108</v>
      </c>
      <c r="AE18" s="46">
        <f t="shared" ca="1" si="15"/>
        <v>98255107.878218919</v>
      </c>
      <c r="AF18" s="46">
        <f t="shared" ca="1" si="15"/>
        <v>110354504.40592463</v>
      </c>
      <c r="AG18" s="46">
        <f t="shared" ca="1" si="15"/>
        <v>122137443.93904576</v>
      </c>
      <c r="AH18" s="46">
        <f t="shared" ca="1" si="15"/>
        <v>133716765.65272877</v>
      </c>
      <c r="AI18" s="46">
        <f t="shared" ca="1" si="15"/>
        <v>145083023.05057591</v>
      </c>
      <c r="AJ18" s="46">
        <f t="shared" ca="1" si="15"/>
        <v>156244113.40191907</v>
      </c>
      <c r="AK18" s="46">
        <f t="shared" ca="1" si="15"/>
        <v>167205390.27059069</v>
      </c>
      <c r="AL18" s="46">
        <f t="shared" ca="1" si="15"/>
        <v>177972430.54548913</v>
      </c>
      <c r="AM18" s="46">
        <f t="shared" ca="1" si="15"/>
        <v>188550659.3530952</v>
      </c>
      <c r="AN18" s="46">
        <f t="shared" ca="1" si="15"/>
        <v>198945403.04425809</v>
      </c>
      <c r="AO18" s="46">
        <f t="shared" ca="1" si="15"/>
        <v>209161884.6078805</v>
      </c>
      <c r="AP18" s="46">
        <f t="shared" ca="1" si="15"/>
        <v>219205226.69014058</v>
      </c>
      <c r="AQ18" s="46">
        <f t="shared" ca="1" si="15"/>
        <v>229080453.56652403</v>
      </c>
      <c r="AR18" s="46">
        <f t="shared" ca="1" si="15"/>
        <v>238792493.20639381</v>
      </c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</row>
    <row r="19" spans="3:60" x14ac:dyDescent="0.25">
      <c r="C19" s="45" t="s">
        <v>101</v>
      </c>
      <c r="D19" s="10">
        <v>0</v>
      </c>
      <c r="E19" s="10">
        <f ca="1">IF(E2&gt;='Dashboard and Input Variables'!$B$29,OFFSET('Cumulative 40yr Model'!E20,0,-'Dashboard and Input Variables'!$B$29,1,1),0)</f>
        <v>0</v>
      </c>
      <c r="F19" s="10">
        <f ca="1">IF(F2&gt;='Dashboard and Input Variables'!$B$29,OFFSET('Cumulative 40yr Model'!F20,0,-'Dashboard and Input Variables'!$B$29,1,1),0)</f>
        <v>0</v>
      </c>
      <c r="G19" s="10">
        <f ca="1">IF(G2&gt;='Dashboard and Input Variables'!$B$29,OFFSET('Cumulative 40yr Model'!G20,0,-'Dashboard and Input Variables'!$B$29,1,1),0)</f>
        <v>0</v>
      </c>
      <c r="H19" s="10">
        <f ca="1">IF(H2&gt;='Dashboard and Input Variables'!$B$29,OFFSET('Cumulative 40yr Model'!H20,0,-'Dashboard and Input Variables'!$B$29,1,1),0)</f>
        <v>0</v>
      </c>
      <c r="I19" s="10">
        <f ca="1">IF(I2&gt;='Dashboard and Input Variables'!$B$29,OFFSET('Cumulative 40yr Model'!I20,0,-'Dashboard and Input Variables'!$B$29,1,1),0)</f>
        <v>0</v>
      </c>
      <c r="J19" s="10">
        <f ca="1">IF(J2&gt;='Dashboard and Input Variables'!$B$29,OFFSET('Cumulative 40yr Model'!J20,0,-'Dashboard and Input Variables'!$B$29,1,1),0)</f>
        <v>0</v>
      </c>
      <c r="K19" s="10">
        <f ca="1">IF(K2&gt;='Dashboard and Input Variables'!$B$29,OFFSET('Cumulative 40yr Model'!K20,0,-'Dashboard and Input Variables'!$B$29,1,1),0)</f>
        <v>0</v>
      </c>
      <c r="L19" s="10">
        <f ca="1">IF(L2&gt;='Dashboard and Input Variables'!$B$29,OFFSET('Cumulative 40yr Model'!L20,0,-'Dashboard and Input Variables'!$B$29,1,1),0)</f>
        <v>0</v>
      </c>
      <c r="M19" s="10">
        <f ca="1">IF(M2&gt;='Dashboard and Input Variables'!$B$29,OFFSET('Cumulative 40yr Model'!M20,0,-'Dashboard and Input Variables'!$B$29,1,1),0)</f>
        <v>0</v>
      </c>
      <c r="N19" s="10">
        <f ca="1">IF(N2&gt;='Dashboard and Input Variables'!$B$29,OFFSET('Cumulative 40yr Model'!N20,0,-'Dashboard and Input Variables'!$B$29,1,1),0)</f>
        <v>0</v>
      </c>
      <c r="O19" s="10">
        <f ca="1">IF(O2&gt;='Dashboard and Input Variables'!$B$29,OFFSET('Cumulative 40yr Model'!O20,0,-'Dashboard and Input Variables'!$B$29,1,1),0)</f>
        <v>0</v>
      </c>
      <c r="P19" s="10">
        <f ca="1">IF(P2&gt;='Dashboard and Input Variables'!$B$29,OFFSET('Cumulative 40yr Model'!P20,0,-'Dashboard and Input Variables'!$B$29,1,1),0)</f>
        <v>0</v>
      </c>
      <c r="Q19" s="10">
        <f ca="1">IF(Q2&gt;='Dashboard and Input Variables'!$B$29,OFFSET('Cumulative 40yr Model'!Q20,0,-'Dashboard and Input Variables'!$B$29,1,1),0)</f>
        <v>0</v>
      </c>
      <c r="R19" s="10">
        <f ca="1">IF(R2&gt;='Dashboard and Input Variables'!$B$29,OFFSET('Cumulative 40yr Model'!R20,0,-'Dashboard and Input Variables'!$B$29,1,1),0)</f>
        <v>0</v>
      </c>
      <c r="S19" s="10">
        <f ca="1">IF(S2&gt;='Dashboard and Input Variables'!$B$29,OFFSET('Cumulative 40yr Model'!S20,0,-'Dashboard and Input Variables'!$B$29,1,1),0)</f>
        <v>0</v>
      </c>
      <c r="T19" s="10">
        <f ca="1">IF(T2&gt;='Dashboard and Input Variables'!$B$29,OFFSET('Cumulative 40yr Model'!T20,0,-'Dashboard and Input Variables'!$B$29,1,1),0)</f>
        <v>0</v>
      </c>
      <c r="U19" s="10">
        <f ca="1">IF(U2&gt;='Dashboard and Input Variables'!$B$29,OFFSET('Cumulative 40yr Model'!U20,0,-'Dashboard and Input Variables'!$B$29,1,1),0)</f>
        <v>0</v>
      </c>
      <c r="V19" s="10">
        <f ca="1">IF(V2&gt;='Dashboard and Input Variables'!$B$29,OFFSET('Cumulative 40yr Model'!V20,0,-'Dashboard and Input Variables'!$B$29,1,1),0)</f>
        <v>0</v>
      </c>
      <c r="W19" s="10">
        <f ca="1">IF(W2&gt;='Dashboard and Input Variables'!$B$29,OFFSET('Cumulative 40yr Model'!W20,0,-'Dashboard and Input Variables'!$B$29,1,1),0)</f>
        <v>0</v>
      </c>
      <c r="X19" s="10">
        <f ca="1">IF(X2&gt;='Dashboard and Input Variables'!$B$29,OFFSET('Cumulative 40yr Model'!X20,0,-'Dashboard and Input Variables'!$B$29,1,1),0)</f>
        <v>1490.4991948470208</v>
      </c>
      <c r="Y19" s="10">
        <f ca="1">IF(Y2&gt;='Dashboard and Input Variables'!$B$29,OFFSET('Cumulative 40yr Model'!Y20,0,-'Dashboard and Input Variables'!$B$29,1,1),0)</f>
        <v>1457.6386836693714</v>
      </c>
      <c r="Z19" s="10">
        <f ca="1">IF(Z2&gt;='Dashboard and Input Variables'!$B$29,OFFSET('Cumulative 40yr Model'!Z20,0,-'Dashboard and Input Variables'!$B$29,1,1),0)</f>
        <v>1425.726803022455</v>
      </c>
      <c r="AA19" s="10">
        <f ca="1">IF(AA2&gt;='Dashboard and Input Variables'!$B$29,OFFSET('Cumulative 40yr Model'!AA20,0,-'Dashboard and Input Variables'!$B$29,1,1),0)</f>
        <v>1287.6445145747862</v>
      </c>
      <c r="AB19" s="10">
        <f ca="1">IF(AB2&gt;='Dashboard and Input Variables'!$B$29,OFFSET('Cumulative 40yr Model'!AB20,0,-'Dashboard and Input Variables'!$B$29,1,1),0)</f>
        <v>1295.9990705186501</v>
      </c>
      <c r="AC19" s="10">
        <f ca="1">IF(AC2&gt;='Dashboard and Input Variables'!$B$29,OFFSET('Cumulative 40yr Model'!AC20,0,-'Dashboard and Input Variables'!$B$29,1,1),0)</f>
        <v>1287.0258345213354</v>
      </c>
      <c r="AD19" s="10">
        <f ca="1">IF(AD2&gt;='Dashboard and Input Variables'!$B$29,OFFSET('Cumulative 40yr Model'!AD20,0,-'Dashboard and Input Variables'!$B$29,1,1),0)</f>
        <v>1280.4210109448104</v>
      </c>
      <c r="AE19" s="10">
        <f ca="1">IF(AE2&gt;='Dashboard and Input Variables'!$B$29,OFFSET('Cumulative 40yr Model'!AE20,0,-'Dashboard and Input Variables'!$B$29,1,1),0)</f>
        <v>1273.8122898322736</v>
      </c>
      <c r="AF19" s="10">
        <f ca="1">IF(AF2&gt;='Dashboard and Input Variables'!$B$29,OFFSET('Cumulative 40yr Model'!AF20,0,-'Dashboard and Input Variables'!$B$29,1,1),0)</f>
        <v>1267.4820566870185</v>
      </c>
      <c r="AG19" s="10">
        <f ca="1">IF(AG2&gt;='Dashboard and Input Variables'!$B$29,OFFSET('Cumulative 40yr Model'!AG20,0,-'Dashboard and Input Variables'!$B$29,1,1),0)</f>
        <v>1261.3934265013315</v>
      </c>
      <c r="AH19" s="10">
        <f ca="1">IF(AH2&gt;='Dashboard and Input Variables'!$B$29,OFFSET('Cumulative 40yr Model'!AH20,0,-'Dashboard and Input Variables'!$B$29,1,1),0)</f>
        <v>1255.5479824695749</v>
      </c>
      <c r="AI19" s="10">
        <f ca="1">IF(AI2&gt;='Dashboard and Input Variables'!$B$29,OFFSET('Cumulative 40yr Model'!AI20,0,-'Dashboard and Input Variables'!$B$29,1,1),0)</f>
        <v>1249.9427425895867</v>
      </c>
      <c r="AJ19" s="10">
        <f ca="1">IF(AJ2&gt;='Dashboard and Input Variables'!$B$29,OFFSET('Cumulative 40yr Model'!AJ20,0,-'Dashboard and Input Variables'!$B$29,1,1),0)</f>
        <v>1244.575335321842</v>
      </c>
      <c r="AK19" s="10">
        <f ca="1">IF(AK2&gt;='Dashboard and Input Variables'!$B$29,OFFSET('Cumulative 40yr Model'!AK20,0,-'Dashboard and Input Variables'!$B$29,1,1),0)</f>
        <v>1239.4433761764988</v>
      </c>
      <c r="AL19" s="10">
        <f ca="1">IF(AL2&gt;='Dashboard and Input Variables'!$B$29,OFFSET('Cumulative 40yr Model'!AL20,0,-'Dashboard and Input Variables'!$B$29,1,1),0)</f>
        <v>1234.5445418882887</v>
      </c>
      <c r="AM19" s="10">
        <f ca="1">IF(AM2&gt;='Dashboard and Input Variables'!$B$29,OFFSET('Cumulative 40yr Model'!AM20,0,-'Dashboard and Input Variables'!$B$29,1,1),0)</f>
        <v>1229.8765606930897</v>
      </c>
      <c r="AN19" s="10">
        <f ca="1">IF(AN2&gt;='Dashboard and Input Variables'!$B$29,OFFSET('Cumulative 40yr Model'!AN20,0,-'Dashboard and Input Variables'!$B$29,1,1),0)</f>
        <v>1225.4372127112831</v>
      </c>
      <c r="AO19" s="10">
        <f ca="1">IF(AO2&gt;='Dashboard and Input Variables'!$B$29,OFFSET('Cumulative 40yr Model'!AO20,0,-'Dashboard and Input Variables'!$B$29,1,1),0)</f>
        <v>1221.224329129738</v>
      </c>
      <c r="AP19" s="10">
        <f ca="1">IF(AP2&gt;='Dashboard and Input Variables'!$B$29,OFFSET('Cumulative 40yr Model'!AP20,0,-'Dashboard and Input Variables'!$B$29,1,1),0)</f>
        <v>1217.2357915424902</v>
      </c>
      <c r="AQ19" s="10">
        <f ca="1">IF(AQ2&gt;='Dashboard and Input Variables'!$B$29,OFFSET('Cumulative 40yr Model'!AQ20,0,-'Dashboard and Input Variables'!$B$29,1,1),0)</f>
        <v>1213.4695312862805</v>
      </c>
      <c r="AR19" s="10">
        <f ca="1">IF(AR2&gt;='Dashboard and Input Variables'!$B$29,OFFSET('Cumulative 40yr Model'!AR20,0,-'Dashboard and Input Variables'!$B$29,1,1),0)</f>
        <v>1209.9235287904594</v>
      </c>
    </row>
    <row r="20" spans="3:60" x14ac:dyDescent="0.25">
      <c r="C20" s="45" t="s">
        <v>115</v>
      </c>
      <c r="D20" s="10">
        <f>MAX(MIN(SUM(Add_Wind_Cap)/Turb_Size_MW*1000/CF-'Cumulative 40yr Model'!D9+'Cumulative 40yr Model'!D19,(D13-D16)/Turb_Cost_W/Turb_Size_MW/10^6,Land_Area*Area_Fraction*Turb_Dense-'Cumulative 40yr Model'!D9+'Cumulative 40yr Model'!D19),0)</f>
        <v>1490.4991948470208</v>
      </c>
      <c r="E20" s="10">
        <f ca="1">MAX(MIN(SUM(Add_Wind_Cap)/Turb_Size_MW*1000/CF-'Cumulative 40yr Model'!E9+'Cumulative 40yr Model'!E19,(E13-E16)/Turb_Cost_W/Turb_Size_MW/10^6,Land_Area*Area_Fraction*Turb_Dense-'Cumulative 40yr Model'!E9+'Cumulative 40yr Model'!E19),0)</f>
        <v>1457.6386836693714</v>
      </c>
      <c r="F20" s="10">
        <f ca="1">MAX(MIN(SUM(Add_Wind_Cap)/Turb_Size_MW*1000/CF-'Cumulative 40yr Model'!F9+'Cumulative 40yr Model'!F19,(F13-F16)/Turb_Cost_W/Turb_Size_MW/10^6,Land_Area*Area_Fraction*Turb_Dense-'Cumulative 40yr Model'!F9+'Cumulative 40yr Model'!F19),0)</f>
        <v>1425.726803022455</v>
      </c>
      <c r="G20" s="10">
        <f ca="1">MAX(MIN(SUM(Add_Wind_Cap)/Turb_Size_MW*1000/CF-'Cumulative 40yr Model'!G9+'Cumulative 40yr Model'!G19,(G13-G16)/Turb_Cost_W/Turb_Size_MW/10^6,Land_Area*Area_Fraction*Turb_Dense-'Cumulative 40yr Model'!G9+'Cumulative 40yr Model'!G19),0)</f>
        <v>1287.6445145747862</v>
      </c>
      <c r="H20" s="10">
        <f ca="1">MAX(MIN(SUM(Add_Wind_Cap)/Turb_Size_MW*1000/CF-'Cumulative 40yr Model'!H9+'Cumulative 40yr Model'!H19,(H13-H16)/Turb_Cost_W/Turb_Size_MW/10^6,Land_Area*Area_Fraction*Turb_Dense-'Cumulative 40yr Model'!H9+'Cumulative 40yr Model'!H19),0)</f>
        <v>1295.9990705186501</v>
      </c>
      <c r="I20" s="10">
        <f ca="1">MAX(MIN(SUM(Add_Wind_Cap)/Turb_Size_MW*1000/CF-'Cumulative 40yr Model'!I9+'Cumulative 40yr Model'!I19,(I13-I16)/Turb_Cost_W/Turb_Size_MW/10^6,Land_Area*Area_Fraction*Turb_Dense-'Cumulative 40yr Model'!I9+'Cumulative 40yr Model'!I19),0)</f>
        <v>1287.0258345213354</v>
      </c>
      <c r="J20" s="10">
        <f ca="1">MAX(MIN(SUM(Add_Wind_Cap)/Turb_Size_MW*1000/CF-'Cumulative 40yr Model'!J9+'Cumulative 40yr Model'!J19,(J13-J16)/Turb_Cost_W/Turb_Size_MW/10^6,Land_Area*Area_Fraction*Turb_Dense-'Cumulative 40yr Model'!J9+'Cumulative 40yr Model'!J19),0)</f>
        <v>1280.4210109448104</v>
      </c>
      <c r="K20" s="10">
        <f ca="1">MAX(MIN(SUM(Add_Wind_Cap)/Turb_Size_MW*1000/CF-'Cumulative 40yr Model'!K9+'Cumulative 40yr Model'!K19,(K13-K16)/Turb_Cost_W/Turb_Size_MW/10^6,Land_Area*Area_Fraction*Turb_Dense-'Cumulative 40yr Model'!K9+'Cumulative 40yr Model'!K19),0)</f>
        <v>1273.8122898322736</v>
      </c>
      <c r="L20" s="10">
        <f ca="1">MAX(MIN(SUM(Add_Wind_Cap)/Turb_Size_MW*1000/CF-'Cumulative 40yr Model'!L9+'Cumulative 40yr Model'!L19,(L13-L16)/Turb_Cost_W/Turb_Size_MW/10^6,Land_Area*Area_Fraction*Turb_Dense-'Cumulative 40yr Model'!L9+'Cumulative 40yr Model'!L19),0)</f>
        <v>1267.4820566870185</v>
      </c>
      <c r="M20" s="10">
        <f ca="1">MAX(MIN(SUM(Add_Wind_Cap)/Turb_Size_MW*1000/CF-'Cumulative 40yr Model'!M9+'Cumulative 40yr Model'!M19,(M13-M16)/Turb_Cost_W/Turb_Size_MW/10^6,Land_Area*Area_Fraction*Turb_Dense-'Cumulative 40yr Model'!M9+'Cumulative 40yr Model'!M19),0)</f>
        <v>1261.3934265013315</v>
      </c>
      <c r="N20" s="10">
        <f ca="1">MAX(MIN(SUM(Add_Wind_Cap)/Turb_Size_MW*1000/CF-'Cumulative 40yr Model'!N9+'Cumulative 40yr Model'!N19,(N13-N16)/Turb_Cost_W/Turb_Size_MW/10^6,Land_Area*Area_Fraction*Turb_Dense-'Cumulative 40yr Model'!N9+'Cumulative 40yr Model'!N19),0)</f>
        <v>1255.5479824695749</v>
      </c>
      <c r="O20" s="10">
        <f ca="1">MAX(MIN(SUM(Add_Wind_Cap)/Turb_Size_MW*1000/CF-'Cumulative 40yr Model'!O9+'Cumulative 40yr Model'!O19,(O13-O16)/Turb_Cost_W/Turb_Size_MW/10^6,Land_Area*Area_Fraction*Turb_Dense-'Cumulative 40yr Model'!O9+'Cumulative 40yr Model'!O19),0)</f>
        <v>1249.9427425895867</v>
      </c>
      <c r="P20" s="10">
        <f ca="1">MAX(MIN(SUM(Add_Wind_Cap)/Turb_Size_MW*1000/CF-'Cumulative 40yr Model'!P9+'Cumulative 40yr Model'!P19,(P13-P16)/Turb_Cost_W/Turb_Size_MW/10^6,Land_Area*Area_Fraction*Turb_Dense-'Cumulative 40yr Model'!P9+'Cumulative 40yr Model'!P19),0)</f>
        <v>1244.575335321842</v>
      </c>
      <c r="Q20" s="10">
        <f ca="1">MAX(MIN(SUM(Add_Wind_Cap)/Turb_Size_MW*1000/CF-'Cumulative 40yr Model'!Q9+'Cumulative 40yr Model'!Q19,(Q13-Q16)/Turb_Cost_W/Turb_Size_MW/10^6,Land_Area*Area_Fraction*Turb_Dense-'Cumulative 40yr Model'!Q9+'Cumulative 40yr Model'!Q19),0)</f>
        <v>1239.4433761764988</v>
      </c>
      <c r="R20" s="10">
        <f ca="1">MAX(MIN(SUM(Add_Wind_Cap)/Turb_Size_MW*1000/CF-'Cumulative 40yr Model'!R9+'Cumulative 40yr Model'!R19,(R13-R16)/Turb_Cost_W/Turb_Size_MW/10^6,Land_Area*Area_Fraction*Turb_Dense-'Cumulative 40yr Model'!R9+'Cumulative 40yr Model'!R19),0)</f>
        <v>1234.5445418882887</v>
      </c>
      <c r="S20" s="10">
        <f ca="1">MAX(MIN(SUM(Add_Wind_Cap)/Turb_Size_MW*1000/CF-'Cumulative 40yr Model'!S9+'Cumulative 40yr Model'!S19,(S13-S16)/Turb_Cost_W/Turb_Size_MW/10^6,Land_Area*Area_Fraction*Turb_Dense-'Cumulative 40yr Model'!S9+'Cumulative 40yr Model'!S19),0)</f>
        <v>1229.8765606930897</v>
      </c>
      <c r="T20" s="10">
        <f ca="1">MAX(MIN(SUM(Add_Wind_Cap)/Turb_Size_MW*1000/CF-'Cumulative 40yr Model'!T9+'Cumulative 40yr Model'!T19,(T13-T16)/Turb_Cost_W/Turb_Size_MW/10^6,Land_Area*Area_Fraction*Turb_Dense-'Cumulative 40yr Model'!T9+'Cumulative 40yr Model'!T19),0)</f>
        <v>1225.4372127112831</v>
      </c>
      <c r="U20" s="10">
        <f ca="1">MAX(MIN(SUM(Add_Wind_Cap)/Turb_Size_MW*1000/CF-'Cumulative 40yr Model'!U9+'Cumulative 40yr Model'!U19,(U13-U16)/Turb_Cost_W/Turb_Size_MW/10^6,Land_Area*Area_Fraction*Turb_Dense-'Cumulative 40yr Model'!U9+'Cumulative 40yr Model'!U19),0)</f>
        <v>1221.224329129738</v>
      </c>
      <c r="V20" s="10">
        <f ca="1">MAX(MIN(SUM(Add_Wind_Cap)/Turb_Size_MW*1000/CF-'Cumulative 40yr Model'!V9+'Cumulative 40yr Model'!V19,(V13-V16)/Turb_Cost_W/Turb_Size_MW/10^6,Land_Area*Area_Fraction*Turb_Dense-'Cumulative 40yr Model'!V9+'Cumulative 40yr Model'!V19),0)</f>
        <v>1217.2357915424902</v>
      </c>
      <c r="W20" s="10">
        <f ca="1">MAX(MIN(SUM(Add_Wind_Cap)/Turb_Size_MW*1000/CF-'Cumulative 40yr Model'!W9+'Cumulative 40yr Model'!W19,(W13-W16)/Turb_Cost_W/Turb_Size_MW/10^6,Land_Area*Area_Fraction*Turb_Dense-'Cumulative 40yr Model'!W9+'Cumulative 40yr Model'!W19),0)</f>
        <v>1213.4695312862805</v>
      </c>
      <c r="X20" s="10">
        <f ca="1">MAX(MIN(SUM(Add_Wind_Cap)/Turb_Size_MW*1000/CF-'Cumulative 40yr Model'!X9+'Cumulative 40yr Model'!X19,(X13-X16)/Turb_Cost_W/Turb_Size_MW/10^6,Land_Area*Area_Fraction*Turb_Dense-'Cumulative 40yr Model'!X9+'Cumulative 40yr Model'!X19),0)</f>
        <v>1209.9235287904594</v>
      </c>
      <c r="Y20" s="10">
        <f ca="1">MAX(MIN(SUM(Add_Wind_Cap)/Turb_Size_MW*1000/CF-'Cumulative 40yr Model'!Y9+'Cumulative 40yr Model'!Y19,(Y13-Y16)/Turb_Cost_W/Turb_Size_MW/10^6,Land_Area*Area_Fraction*Turb_Dense-'Cumulative 40yr Model'!Y9+'Cumulative 40yr Model'!Y19),0)</f>
        <v>1410.0079860984058</v>
      </c>
      <c r="Z20" s="10">
        <f ca="1">MAX(MIN(SUM(Add_Wind_Cap)/Turb_Size_MW*1000/CF-'Cumulative 40yr Model'!Z9+'Cumulative 40yr Model'!Z19,(Z13-Z16)/Turb_Cost_W/Turb_Size_MW/10^6,Land_Area*Area_Fraction*Turb_Dense-'Cumulative 40yr Model'!Z9+'Cumulative 40yr Model'!Z19),0)</f>
        <v>1401.6726518724959</v>
      </c>
      <c r="AA20" s="10">
        <f ca="1">MAX(MIN(SUM(Add_Wind_Cap)/Turb_Size_MW*1000/CF-'Cumulative 40yr Model'!AA9+'Cumulative 40yr Model'!AA19,(AA13-AA16)/Turb_Cost_W/Turb_Size_MW/10^6,Land_Area*Area_Fraction*Turb_Dense-'Cumulative 40yr Model'!AA9+'Cumulative 40yr Model'!AA19),0)</f>
        <v>1417.8710616463691</v>
      </c>
      <c r="AB20" s="10">
        <f ca="1">MAX(MIN(SUM(Add_Wind_Cap)/Turb_Size_MW*1000/CF-'Cumulative 40yr Model'!AB9+'Cumulative 40yr Model'!AB19,(AB13-AB16)/Turb_Cost_W/Turb_Size_MW/10^6,Land_Area*Area_Fraction*Turb_Dense-'Cumulative 40yr Model'!AB9+'Cumulative 40yr Model'!AB19),0)</f>
        <v>1415.9900608759751</v>
      </c>
      <c r="AC20" s="10">
        <f ca="1">MAX(MIN(SUM(Add_Wind_Cap)/Turb_Size_MW*1000/CF-'Cumulative 40yr Model'!AC9+'Cumulative 40yr Model'!AC19,(AC13-AC16)/Turb_Cost_W/Turb_Size_MW/10^6,Land_Area*Area_Fraction*Turb_Dense-'Cumulative 40yr Model'!AC9+'Cumulative 40yr Model'!AC19),0)</f>
        <v>1433.9514856124713</v>
      </c>
      <c r="AD20" s="10">
        <f ca="1">MAX(MIN(SUM(Add_Wind_Cap)/Turb_Size_MW*1000/CF-'Cumulative 40yr Model'!AD9+'Cumulative 40yr Model'!AD19,(AD13-AD16)/Turb_Cost_W/Turb_Size_MW/10^6,Land_Area*Area_Fraction*Turb_Dense-'Cumulative 40yr Model'!AD9+'Cumulative 40yr Model'!AD19),0)</f>
        <v>1447.2150080280996</v>
      </c>
      <c r="AE20" s="10">
        <f ca="1">MAX(MIN(SUM(Add_Wind_Cap)/Turb_Size_MW*1000/CF-'Cumulative 40yr Model'!AE9+'Cumulative 40yr Model'!AE19,(AE13-AE16)/Turb_Cost_W/Turb_Size_MW/10^6,Land_Area*Area_Fraction*Turb_Dense-'Cumulative 40yr Model'!AE9+'Cumulative 40yr Model'!AE19),0)</f>
        <v>1461.145745400022</v>
      </c>
      <c r="AF20" s="10">
        <f ca="1">MAX(MIN(SUM(Add_Wind_Cap)/Turb_Size_MW*1000/CF-'Cumulative 40yr Model'!AF9+'Cumulative 40yr Model'!AF19,(AF13-AF16)/Turb_Cost_W/Turb_Size_MW/10^6,Land_Area*Area_Fraction*Turb_Dense-'Cumulative 40yr Model'!AF9+'Cumulative 40yr Model'!AF19),0)</f>
        <v>1474.8177658226516</v>
      </c>
      <c r="AG20" s="10">
        <f ca="1">MAX(MIN(SUM(Add_Wind_Cap)/Turb_Size_MW*1000/CF-'Cumulative 40yr Model'!AG9+'Cumulative 40yr Model'!AG19,(AG13-AG16)/Turb_Cost_W/Turb_Size_MW/10^6,Land_Area*Area_Fraction*Turb_Dense-'Cumulative 40yr Model'!AG9+'Cumulative 40yr Model'!AG19),0)</f>
        <v>1488.3857356229148</v>
      </c>
      <c r="AH20" s="10">
        <f ca="1">MAX(MIN(SUM(Add_Wind_Cap)/Turb_Size_MW*1000/CF-'Cumulative 40yr Model'!AH9+'Cumulative 40yr Model'!AH19,(AH13-AH16)/Turb_Cost_W/Turb_Size_MW/10^6,Land_Area*Area_Fraction*Turb_Dense-'Cumulative 40yr Model'!AH9+'Cumulative 40yr Model'!AH19),0)</f>
        <v>1501.8352019953545</v>
      </c>
      <c r="AI20" s="10">
        <f ca="1">MAX(MIN(SUM(Add_Wind_Cap)/Turb_Size_MW*1000/CF-'Cumulative 40yr Model'!AI9+'Cumulative 40yr Model'!AI19,(AI13-AI16)/Turb_Cost_W/Turb_Size_MW/10^6,Land_Area*Area_Fraction*Turb_Dense-'Cumulative 40yr Model'!AI9+'Cumulative 40yr Model'!AI19),0)</f>
        <v>1515.1765890308391</v>
      </c>
      <c r="AJ20" s="10">
        <f ca="1">MAX(MIN(SUM(Add_Wind_Cap)/Turb_Size_MW*1000/CF-'Cumulative 40yr Model'!AJ9+'Cumulative 40yr Model'!AJ19,(AJ13-AJ16)/Turb_Cost_W/Turb_Size_MW/10^6,Land_Area*Area_Fraction*Turb_Dense-'Cumulative 40yr Model'!AJ9+'Cumulative 40yr Model'!AJ19),0)</f>
        <v>1528.4166131887284</v>
      </c>
      <c r="AK20" s="10">
        <f ca="1">MAX(MIN(SUM(Add_Wind_Cap)/Turb_Size_MW*1000/CF-'Cumulative 40yr Model'!AK9+'Cumulative 40yr Model'!AK19,(AK13-AK16)/Turb_Cost_W/Turb_Size_MW/10^6,Land_Area*Area_Fraction*Turb_Dense-'Cumulative 40yr Model'!AK9+'Cumulative 40yr Model'!AK19),0)</f>
        <v>1541.5623570858841</v>
      </c>
      <c r="AL20" s="10">
        <f ca="1">MAX(MIN(SUM(Add_Wind_Cap)/Turb_Size_MW*1000/CF-'Cumulative 40yr Model'!AL9+'Cumulative 40yr Model'!AL19,(AL13-AL16)/Turb_Cost_W/Turb_Size_MW/10^6,Land_Area*Area_Fraction*Turb_Dense-'Cumulative 40yr Model'!AL9+'Cumulative 40yr Model'!AL19),0)</f>
        <v>1554.6207069378515</v>
      </c>
      <c r="AM20" s="10">
        <f ca="1">MAX(MIN(SUM(Add_Wind_Cap)/Turb_Size_MW*1000/CF-'Cumulative 40yr Model'!AM9+'Cumulative 40yr Model'!AM19,(AM13-AM16)/Turb_Cost_W/Turb_Size_MW/10^6,Land_Area*Area_Fraction*Turb_Dense-'Cumulative 40yr Model'!AM9+'Cumulative 40yr Model'!AM19),0)</f>
        <v>1567.5984327836923</v>
      </c>
      <c r="AN20" s="10">
        <f ca="1">MAX(MIN(SUM(Add_Wind_Cap)/Turb_Size_MW*1000/CF-'Cumulative 40yr Model'!AN9+'Cumulative 40yr Model'!AN19,(AN13-AN16)/Turb_Cost_W/Turb_Size_MW/10^6,Land_Area*Area_Fraction*Turb_Dense-'Cumulative 40yr Model'!AN9+'Cumulative 40yr Model'!AN19),0)</f>
        <v>1580.5021810838343</v>
      </c>
      <c r="AO20" s="10">
        <f ca="1">MAX(MIN(SUM(Add_Wind_Cap)/Turb_Size_MW*1000/CF-'Cumulative 40yr Model'!AO9+'Cumulative 40yr Model'!AO19,(AO13-AO16)/Turb_Cost_W/Turb_Size_MW/10^6,Land_Area*Area_Fraction*Turb_Dense-'Cumulative 40yr Model'!AO9+'Cumulative 40yr Model'!AO19),0)</f>
        <v>1593.3384790272887</v>
      </c>
      <c r="AP20" s="10">
        <f ca="1">MAX(MIN(SUM(Add_Wind_Cap)/Turb_Size_MW*1000/CF-'Cumulative 40yr Model'!AP9+'Cumulative 40yr Model'!AP19,(AP13-AP16)/Turb_Cost_W/Turb_Size_MW/10^6,Land_Area*Area_Fraction*Turb_Dense-'Cumulative 40yr Model'!AP9+'Cumulative 40yr Model'!AP19),0)</f>
        <v>1606.113737220081</v>
      </c>
      <c r="AQ20" s="10">
        <f ca="1">MAX(MIN(SUM(Add_Wind_Cap)/Turb_Size_MW*1000/CF-'Cumulative 40yr Model'!AQ9+'Cumulative 40yr Model'!AQ19,(AQ13-AQ16)/Turb_Cost_W/Turb_Size_MW/10^6,Land_Area*Area_Fraction*Turb_Dense-'Cumulative 40yr Model'!AQ9+'Cumulative 40yr Model'!AQ19),0)</f>
        <v>1618.8342525254404</v>
      </c>
      <c r="AR20" s="10">
        <f ca="1">MAX(MIN(SUM(Add_Wind_Cap)/Turb_Size_MW*1000/CF-'Cumulative 40yr Model'!AR9+'Cumulative 40yr Model'!AR19,(AR13-AR16)/Turb_Cost_W/Turb_Size_MW/10^6,Land_Area*Area_Fraction*Turb_Dense-'Cumulative 40yr Model'!AR9+'Cumulative 40yr Model'!AR19),0)</f>
        <v>1631.5062108239522</v>
      </c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</row>
    <row r="21" spans="3:60" x14ac:dyDescent="0.25">
      <c r="C21" s="45" t="s">
        <v>149</v>
      </c>
      <c r="D21" s="90">
        <f>(D20-D19)*Turb_Size_MW*Turb_Cost_W*10^6/10^9</f>
        <v>8.7931999999999988</v>
      </c>
      <c r="E21" s="90">
        <f t="shared" ref="E21:AR21" ca="1" si="16">(E20-E19)*Turb_Size_MW*Turb_Cost_W*10^6/10^9</f>
        <v>8.5993394143074564</v>
      </c>
      <c r="F21" s="90">
        <f t="shared" ca="1" si="16"/>
        <v>8.4110752744309742</v>
      </c>
      <c r="G21" s="90">
        <f t="shared" ca="1" si="16"/>
        <v>7.5964588137339515</v>
      </c>
      <c r="H21" s="90">
        <f t="shared" ca="1" si="16"/>
        <v>7.6457465165247767</v>
      </c>
      <c r="I21" s="90">
        <f t="shared" ca="1" si="16"/>
        <v>7.5928089107586176</v>
      </c>
      <c r="J21" s="90">
        <f t="shared" ca="1" si="16"/>
        <v>7.5538437540689101</v>
      </c>
      <c r="K21" s="90">
        <f t="shared" ca="1" si="16"/>
        <v>7.5148556038654979</v>
      </c>
      <c r="L21" s="90">
        <f t="shared" ca="1" si="16"/>
        <v>7.4775103934250646</v>
      </c>
      <c r="M21" s="90">
        <f t="shared" ca="1" si="16"/>
        <v>7.4415905196446044</v>
      </c>
      <c r="N21" s="90">
        <f t="shared" ca="1" si="16"/>
        <v>7.407105322579258</v>
      </c>
      <c r="O21" s="90">
        <f t="shared" ca="1" si="16"/>
        <v>7.3740372099072662</v>
      </c>
      <c r="P21" s="90">
        <f t="shared" ca="1" si="16"/>
        <v>7.3423721907312078</v>
      </c>
      <c r="Q21" s="90">
        <f t="shared" ca="1" si="16"/>
        <v>7.3120961977532541</v>
      </c>
      <c r="R21" s="90">
        <f t="shared" ca="1" si="16"/>
        <v>7.28319552486996</v>
      </c>
      <c r="S21" s="90">
        <f t="shared" ca="1" si="16"/>
        <v>7.2556567698088825</v>
      </c>
      <c r="T21" s="90">
        <f t="shared" ca="1" si="16"/>
        <v>7.2294668363902153</v>
      </c>
      <c r="U21" s="90">
        <f t="shared" ca="1" si="16"/>
        <v>7.2046129297008896</v>
      </c>
      <c r="V21" s="90">
        <f t="shared" ca="1" si="16"/>
        <v>7.1810825522049209</v>
      </c>
      <c r="W21" s="90">
        <f t="shared" ca="1" si="16"/>
        <v>7.1588634998234113</v>
      </c>
      <c r="X21" s="90">
        <f t="shared" ca="1" si="16"/>
        <v>-1.6552561419006842</v>
      </c>
      <c r="Y21" s="90">
        <f t="shared" ca="1" si="16"/>
        <v>-0.28099730031991155</v>
      </c>
      <c r="Z21" s="90">
        <f t="shared" ca="1" si="16"/>
        <v>-0.14190746470918386</v>
      </c>
      <c r="AA21" s="90">
        <f t="shared" ca="1" si="16"/>
        <v>0.76827151444880337</v>
      </c>
      <c r="AB21" s="90">
        <f t="shared" ca="1" si="16"/>
        <v>0.70788684761303899</v>
      </c>
      <c r="AC21" s="90">
        <f t="shared" ca="1" si="16"/>
        <v>0.86678787861215656</v>
      </c>
      <c r="AD21" s="90">
        <f t="shared" ca="1" si="16"/>
        <v>0.98400118579286489</v>
      </c>
      <c r="AE21" s="90">
        <f t="shared" ca="1" si="16"/>
        <v>1.1051737211219315</v>
      </c>
      <c r="AF21" s="90">
        <f t="shared" ca="1" si="16"/>
        <v>1.2231770160456676</v>
      </c>
      <c r="AG21" s="90">
        <f t="shared" ca="1" si="16"/>
        <v>1.3391411276627805</v>
      </c>
      <c r="AH21" s="90">
        <f t="shared" ca="1" si="16"/>
        <v>1.4529714515923366</v>
      </c>
      <c r="AI21" s="90">
        <f t="shared" ca="1" si="16"/>
        <v>1.5647470770801684</v>
      </c>
      <c r="AJ21" s="90">
        <f t="shared" ca="1" si="16"/>
        <v>1.6745216187756968</v>
      </c>
      <c r="AK21" s="90">
        <f t="shared" ca="1" si="16"/>
        <v>1.7823509278749186</v>
      </c>
      <c r="AL21" s="90">
        <f t="shared" ca="1" si="16"/>
        <v>1.888289335709896</v>
      </c>
      <c r="AM21" s="90">
        <f t="shared" ca="1" si="16"/>
        <v>1.9923901843985099</v>
      </c>
      <c r="AN21" s="90">
        <f t="shared" ca="1" si="16"/>
        <v>2.0947057809138658</v>
      </c>
      <c r="AO21" s="90">
        <f t="shared" ca="1" si="16"/>
        <v>2.1952874273206007</v>
      </c>
      <c r="AP21" s="90">
        <f t="shared" ca="1" si="16"/>
        <v>2.2941854405249469</v>
      </c>
      <c r="AQ21" s="90">
        <f t="shared" ca="1" si="16"/>
        <v>2.3914491729504244</v>
      </c>
      <c r="AR21" s="90">
        <f t="shared" ca="1" si="16"/>
        <v>2.4871270326565909</v>
      </c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</row>
    <row r="22" spans="3:60" x14ac:dyDescent="0.25">
      <c r="C22" s="45" t="s">
        <v>150</v>
      </c>
      <c r="D22" s="90">
        <f>D19*10^6*Turb_Size_MW*Turb_Cost_W/10^9</f>
        <v>0</v>
      </c>
      <c r="E22" s="90">
        <f t="shared" ref="E22:AR22" ca="1" si="17">E19*10^6*Turb_Size_MW*Turb_Cost_W/10^9</f>
        <v>0</v>
      </c>
      <c r="F22" s="90">
        <f t="shared" ca="1" si="17"/>
        <v>0</v>
      </c>
      <c r="G22" s="90">
        <f t="shared" ca="1" si="17"/>
        <v>0</v>
      </c>
      <c r="H22" s="90">
        <f t="shared" ca="1" si="17"/>
        <v>0</v>
      </c>
      <c r="I22" s="90">
        <f t="shared" ca="1" si="17"/>
        <v>0</v>
      </c>
      <c r="J22" s="90">
        <f t="shared" ca="1" si="17"/>
        <v>0</v>
      </c>
      <c r="K22" s="90">
        <f t="shared" ca="1" si="17"/>
        <v>0</v>
      </c>
      <c r="L22" s="90">
        <f t="shared" ca="1" si="17"/>
        <v>0</v>
      </c>
      <c r="M22" s="90">
        <f t="shared" ca="1" si="17"/>
        <v>0</v>
      </c>
      <c r="N22" s="90">
        <f t="shared" ca="1" si="17"/>
        <v>0</v>
      </c>
      <c r="O22" s="90">
        <f t="shared" ca="1" si="17"/>
        <v>0</v>
      </c>
      <c r="P22" s="90">
        <f t="shared" ca="1" si="17"/>
        <v>0</v>
      </c>
      <c r="Q22" s="90">
        <f t="shared" ca="1" si="17"/>
        <v>0</v>
      </c>
      <c r="R22" s="90">
        <f t="shared" ca="1" si="17"/>
        <v>0</v>
      </c>
      <c r="S22" s="90">
        <f t="shared" ca="1" si="17"/>
        <v>0</v>
      </c>
      <c r="T22" s="90">
        <f t="shared" ca="1" si="17"/>
        <v>0</v>
      </c>
      <c r="U22" s="90">
        <f t="shared" ca="1" si="17"/>
        <v>0</v>
      </c>
      <c r="V22" s="90">
        <f t="shared" ca="1" si="17"/>
        <v>0</v>
      </c>
      <c r="W22" s="90">
        <f t="shared" ca="1" si="17"/>
        <v>0</v>
      </c>
      <c r="X22" s="90">
        <f t="shared" ca="1" si="17"/>
        <v>8.7932000000000006</v>
      </c>
      <c r="Y22" s="90">
        <f t="shared" ca="1" si="17"/>
        <v>8.5993394143074564</v>
      </c>
      <c r="Z22" s="90">
        <f t="shared" ca="1" si="17"/>
        <v>8.4110752744309742</v>
      </c>
      <c r="AA22" s="90">
        <f t="shared" ca="1" si="17"/>
        <v>7.5964588137339506</v>
      </c>
      <c r="AB22" s="90">
        <f t="shared" ca="1" si="17"/>
        <v>7.6457465165247767</v>
      </c>
      <c r="AC22" s="90">
        <f t="shared" ca="1" si="17"/>
        <v>7.5928089107586185</v>
      </c>
      <c r="AD22" s="90">
        <f t="shared" ca="1" si="17"/>
        <v>7.5538437540689083</v>
      </c>
      <c r="AE22" s="90">
        <f t="shared" ca="1" si="17"/>
        <v>7.5148556038654979</v>
      </c>
      <c r="AF22" s="90">
        <f t="shared" ca="1" si="17"/>
        <v>7.4775103934250646</v>
      </c>
      <c r="AG22" s="90">
        <f t="shared" ca="1" si="17"/>
        <v>7.4415905196446053</v>
      </c>
      <c r="AH22" s="90">
        <f t="shared" ca="1" si="17"/>
        <v>7.407105322579258</v>
      </c>
      <c r="AI22" s="90">
        <f t="shared" ca="1" si="17"/>
        <v>7.3740372099072662</v>
      </c>
      <c r="AJ22" s="90">
        <f t="shared" ca="1" si="17"/>
        <v>7.3423721907312069</v>
      </c>
      <c r="AK22" s="90">
        <f t="shared" ca="1" si="17"/>
        <v>7.3120961977532541</v>
      </c>
      <c r="AL22" s="90">
        <f t="shared" ca="1" si="17"/>
        <v>7.28319552486996</v>
      </c>
      <c r="AM22" s="90">
        <f t="shared" ca="1" si="17"/>
        <v>7.2556567698088825</v>
      </c>
      <c r="AN22" s="90">
        <f t="shared" ca="1" si="17"/>
        <v>7.2294668363902153</v>
      </c>
      <c r="AO22" s="90">
        <f t="shared" ca="1" si="17"/>
        <v>7.2046129297008887</v>
      </c>
      <c r="AP22" s="90">
        <f t="shared" ca="1" si="17"/>
        <v>7.1810825522049209</v>
      </c>
      <c r="AQ22" s="90">
        <f t="shared" ca="1" si="17"/>
        <v>7.1588634998234113</v>
      </c>
      <c r="AR22" s="90">
        <f t="shared" ca="1" si="17"/>
        <v>7.137943858099316</v>
      </c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</row>
    <row r="23" spans="3:60" x14ac:dyDescent="0.25">
      <c r="C23" s="45" t="s">
        <v>196</v>
      </c>
      <c r="D23" s="90">
        <f>D12/10^9</f>
        <v>0</v>
      </c>
      <c r="E23" s="90">
        <f t="shared" ref="E23:AR23" si="18">E12/10^9</f>
        <v>0.15940888888888888</v>
      </c>
      <c r="F23" s="90">
        <f t="shared" ca="1" si="18"/>
        <v>0.31530334610732824</v>
      </c>
      <c r="G23" s="90">
        <f t="shared" ca="1" si="18"/>
        <v>0.46778482769057977</v>
      </c>
      <c r="H23" s="90">
        <f t="shared" ca="1" si="18"/>
        <v>0.60549840852435299</v>
      </c>
      <c r="I23" s="90">
        <f t="shared" ca="1" si="18"/>
        <v>0.74410550911632278</v>
      </c>
      <c r="J23" s="90">
        <f t="shared" ca="1" si="18"/>
        <v>0.88175292211837952</v>
      </c>
      <c r="K23" s="90">
        <f t="shared" ca="1" si="18"/>
        <v>1.0186939492389271</v>
      </c>
      <c r="L23" s="90">
        <f t="shared" ca="1" si="18"/>
        <v>1.1549281736364885</v>
      </c>
      <c r="M23" s="90">
        <f t="shared" ca="1" si="18"/>
        <v>1.2904853795991651</v>
      </c>
      <c r="N23" s="90">
        <f t="shared" ca="1" si="18"/>
        <v>1.4253914065634825</v>
      </c>
      <c r="O23" s="90">
        <f t="shared" ca="1" si="18"/>
        <v>1.5596722632886035</v>
      </c>
      <c r="P23" s="90">
        <f t="shared" ca="1" si="18"/>
        <v>1.6933536396085598</v>
      </c>
      <c r="Q23" s="90">
        <f t="shared" ca="1" si="18"/>
        <v>1.8264609717212306</v>
      </c>
      <c r="R23" s="90">
        <f t="shared" ca="1" si="18"/>
        <v>1.9590194408033075</v>
      </c>
      <c r="S23" s="90">
        <f t="shared" ca="1" si="18"/>
        <v>2.0910539795582599</v>
      </c>
      <c r="T23" s="90">
        <f t="shared" ca="1" si="18"/>
        <v>2.2225892777243859</v>
      </c>
      <c r="U23" s="90">
        <f t="shared" ca="1" si="18"/>
        <v>2.3536497876238576</v>
      </c>
      <c r="V23" s="90">
        <f t="shared" ca="1" si="18"/>
        <v>2.4842597296242834</v>
      </c>
      <c r="W23" s="90">
        <f t="shared" ca="1" si="18"/>
        <v>2.6144430975297528</v>
      </c>
      <c r="X23" s="90">
        <f t="shared" ca="1" si="18"/>
        <v>2.7442236639008204</v>
      </c>
      <c r="Y23" s="90">
        <f t="shared" ca="1" si="18"/>
        <v>2.7142160964160715</v>
      </c>
      <c r="Z23" s="90">
        <f t="shared" ca="1" si="18"/>
        <v>2.7091219933108563</v>
      </c>
      <c r="AA23" s="90">
        <f t="shared" ca="1" si="18"/>
        <v>2.7065494018453689</v>
      </c>
      <c r="AB23" s="90">
        <f t="shared" ca="1" si="18"/>
        <v>2.7204771310546736</v>
      </c>
      <c r="AC23" s="90">
        <f t="shared" ca="1" si="18"/>
        <v>2.7333101674733902</v>
      </c>
      <c r="AD23" s="90">
        <f t="shared" ca="1" si="18"/>
        <v>2.7490238658575867</v>
      </c>
      <c r="AE23" s="90">
        <f t="shared" ca="1" si="18"/>
        <v>2.7668624838456441</v>
      </c>
      <c r="AF23" s="90">
        <f t="shared" ca="1" si="18"/>
        <v>2.7868977969186148</v>
      </c>
      <c r="AG23" s="90">
        <f t="shared" ca="1" si="18"/>
        <v>2.8090723510106712</v>
      </c>
      <c r="AH23" s="90">
        <f t="shared" ca="1" si="18"/>
        <v>2.8333491784712246</v>
      </c>
      <c r="AI23" s="90">
        <f t="shared" ca="1" si="18"/>
        <v>2.8596895965995062</v>
      </c>
      <c r="AJ23" s="90">
        <f t="shared" ca="1" si="18"/>
        <v>2.8880563564763984</v>
      </c>
      <c r="AK23" s="90">
        <f t="shared" ca="1" si="18"/>
        <v>2.918413181144262</v>
      </c>
      <c r="AL23" s="90">
        <f t="shared" ca="1" si="18"/>
        <v>2.9507248061525209</v>
      </c>
      <c r="AM23" s="90">
        <f t="shared" ca="1" si="18"/>
        <v>2.9849569520045716</v>
      </c>
      <c r="AN23" s="90">
        <f t="shared" ca="1" si="18"/>
        <v>3.0210763062246615</v>
      </c>
      <c r="AO23" s="90">
        <f t="shared" ca="1" si="18"/>
        <v>3.0590505045921055</v>
      </c>
      <c r="AP23" s="90">
        <f t="shared" ca="1" si="18"/>
        <v>3.0988481129236489</v>
      </c>
      <c r="AQ23" s="90">
        <f t="shared" ca="1" si="18"/>
        <v>3.1404386092138665</v>
      </c>
      <c r="AR23" s="90">
        <f t="shared" ca="1" si="18"/>
        <v>3.1837923661503948</v>
      </c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</row>
    <row r="24" spans="3:60" x14ac:dyDescent="0.25">
      <c r="C24" s="45" t="s">
        <v>151</v>
      </c>
      <c r="D24" s="90">
        <f>D16/10^9</f>
        <v>0</v>
      </c>
      <c r="E24" s="90">
        <f>E16/10^9</f>
        <v>0.12238369680365298</v>
      </c>
      <c r="F24" s="90">
        <f t="shared" ref="F24:AR24" ca="1" si="19">F16/10^9</f>
        <v>0.24356469946169781</v>
      </c>
      <c r="G24" s="90">
        <f t="shared" ca="1" si="19"/>
        <v>0.99539911177546658</v>
      </c>
      <c r="H24" s="90">
        <f t="shared" ca="1" si="19"/>
        <v>0.89899425568287139</v>
      </c>
      <c r="I24" s="90">
        <f t="shared" ca="1" si="19"/>
        <v>0.90482715266437974</v>
      </c>
      <c r="J24" s="90">
        <f t="shared" ca="1" si="19"/>
        <v>0.89856231207742543</v>
      </c>
      <c r="K24" s="90">
        <f t="shared" ca="1" si="19"/>
        <v>0.893951025042935</v>
      </c>
      <c r="L24" s="90">
        <f t="shared" ca="1" si="19"/>
        <v>0.88933701686728084</v>
      </c>
      <c r="M24" s="90">
        <f t="shared" ca="1" si="19"/>
        <v>0.88491744052435317</v>
      </c>
      <c r="N24" s="90">
        <f t="shared" ca="1" si="19"/>
        <v>0.88066654402306421</v>
      </c>
      <c r="O24" s="90">
        <f t="shared" ca="1" si="19"/>
        <v>0.87658543270159128</v>
      </c>
      <c r="P24" s="90">
        <f t="shared" ca="1" si="19"/>
        <v>0.87267202461667182</v>
      </c>
      <c r="Q24" s="90">
        <f t="shared" ca="1" si="19"/>
        <v>0.86892466403151669</v>
      </c>
      <c r="R24" s="90">
        <f t="shared" ca="1" si="19"/>
        <v>0.86534168616779605</v>
      </c>
      <c r="S24" s="90">
        <f t="shared" ca="1" si="19"/>
        <v>0.86192146899233002</v>
      </c>
      <c r="T24" s="90">
        <f t="shared" ca="1" si="19"/>
        <v>0.85866242642846791</v>
      </c>
      <c r="U24" s="90">
        <f t="shared" ca="1" si="19"/>
        <v>0.85556300862375345</v>
      </c>
      <c r="V24" s="90">
        <f t="shared" ca="1" si="19"/>
        <v>0.85262170137877991</v>
      </c>
      <c r="W24" s="90">
        <f t="shared" ca="1" si="19"/>
        <v>0.84983702568690245</v>
      </c>
      <c r="X24" s="90">
        <f t="shared" ca="1" si="19"/>
        <v>0.84720753727033082</v>
      </c>
      <c r="Y24" s="90">
        <f t="shared" ca="1" si="19"/>
        <v>-0.19588940054044304</v>
      </c>
      <c r="Z24" s="90">
        <f t="shared" ca="1" si="19"/>
        <v>-3.3254305070841358E-2</v>
      </c>
      <c r="AA24" s="90">
        <f t="shared" ca="1" si="19"/>
        <v>-1.6793877086703286E-2</v>
      </c>
      <c r="AB24" s="90">
        <f t="shared" ca="1" si="19"/>
        <v>9.092021627834547E-2</v>
      </c>
      <c r="AC24" s="90">
        <f t="shared" ca="1" si="19"/>
        <v>8.3774061741378775E-2</v>
      </c>
      <c r="AD24" s="90">
        <f t="shared" ca="1" si="19"/>
        <v>0.10257902305203687</v>
      </c>
      <c r="AE24" s="90">
        <f t="shared" ca="1" si="19"/>
        <v>0.11645049822603723</v>
      </c>
      <c r="AF24" s="90">
        <f t="shared" ca="1" si="19"/>
        <v>0.13079052374035513</v>
      </c>
      <c r="AG24" s="90">
        <f t="shared" ca="1" si="19"/>
        <v>0.14475548911294311</v>
      </c>
      <c r="AH24" s="90">
        <f t="shared" ca="1" si="19"/>
        <v>0.15847912966249333</v>
      </c>
      <c r="AI24" s="90">
        <f t="shared" ca="1" si="19"/>
        <v>0.17195024954142329</v>
      </c>
      <c r="AJ24" s="90">
        <f t="shared" ca="1" si="19"/>
        <v>0.18517820847634853</v>
      </c>
      <c r="AK24" s="90">
        <f t="shared" ca="1" si="19"/>
        <v>0.19816935143181122</v>
      </c>
      <c r="AL24" s="90">
        <f t="shared" ca="1" si="19"/>
        <v>0.21093028805391303</v>
      </c>
      <c r="AM24" s="90">
        <f t="shared" ca="1" si="19"/>
        <v>0.22346744812218691</v>
      </c>
      <c r="AN24" s="90">
        <f t="shared" ca="1" si="19"/>
        <v>0.23578714434875031</v>
      </c>
      <c r="AO24" s="90">
        <f t="shared" ca="1" si="19"/>
        <v>0.24789556694267317</v>
      </c>
      <c r="AP24" s="90">
        <f t="shared" ca="1" si="19"/>
        <v>0.25979878718831478</v>
      </c>
      <c r="AQ24" s="90">
        <f t="shared" ca="1" si="19"/>
        <v>0.27150275978254701</v>
      </c>
      <c r="AR24" s="90">
        <f t="shared" ca="1" si="19"/>
        <v>0.28301332528165191</v>
      </c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</row>
    <row r="25" spans="3:60" x14ac:dyDescent="0.25">
      <c r="C25" s="45" t="s">
        <v>148</v>
      </c>
      <c r="D25" s="62">
        <f t="shared" ref="D25:E25" si="20">D13/10^9-D21-D22-D24</f>
        <v>1.7763568394002505E-15</v>
      </c>
      <c r="E25" s="62">
        <f t="shared" ca="1" si="20"/>
        <v>1.0408340855860843E-15</v>
      </c>
      <c r="F25" s="62">
        <f t="shared" ref="F25" ca="1" si="21">F13/10^9-F21-F22-F24</f>
        <v>-1.1379786002407855E-15</v>
      </c>
      <c r="G25" s="62">
        <f t="shared" ref="G25" ca="1" si="22">G13/10^9-G21-G22-G24</f>
        <v>0</v>
      </c>
      <c r="H25" s="62">
        <f t="shared" ref="H25" ca="1" si="23">H13/10^9-H21-H22-H24</f>
        <v>0</v>
      </c>
      <c r="I25" s="62">
        <f t="shared" ref="I25" ca="1" si="24">I13/10^9-I21-I22-I24</f>
        <v>0</v>
      </c>
      <c r="J25" s="62">
        <f t="shared" ref="J25" ca="1" si="25">J13/10^9-J21-J22-J24</f>
        <v>-9.9920072216264089E-16</v>
      </c>
      <c r="K25" s="62">
        <f t="shared" ref="K25" ca="1" si="26">K13/10^9-K21-K22-K24</f>
        <v>0</v>
      </c>
      <c r="L25" s="62">
        <f t="shared" ref="L25" ca="1" si="27">L13/10^9-L21-L22-L24</f>
        <v>0</v>
      </c>
      <c r="M25" s="62">
        <f t="shared" ref="M25" ca="1" si="28">M13/10^9-M21-M22-M24</f>
        <v>1.3322676295501878E-15</v>
      </c>
      <c r="N25" s="62">
        <f t="shared" ref="N25" ca="1" si="29">N13/10^9-N21-N22-N24</f>
        <v>0</v>
      </c>
      <c r="O25" s="62">
        <f t="shared" ref="O25" ca="1" si="30">O13/10^9-O21-O22-O24</f>
        <v>9.9920072216264089E-16</v>
      </c>
      <c r="P25" s="62">
        <f t="shared" ref="P25" ca="1" si="31">P13/10^9-P21-P22-P24</f>
        <v>0</v>
      </c>
      <c r="Q25" s="62">
        <f t="shared" ref="Q25" ca="1" si="32">Q13/10^9-Q21-Q22-Q24</f>
        <v>8.8817841970012523E-16</v>
      </c>
      <c r="R25" s="62">
        <f t="shared" ref="R25" ca="1" si="33">R13/10^9-R21-R22-R24</f>
        <v>0</v>
      </c>
      <c r="S25" s="62">
        <f t="shared" ref="S25" ca="1" si="34">S13/10^9-S21-S22-S24</f>
        <v>8.8817841970012523E-16</v>
      </c>
      <c r="T25" s="62">
        <f t="shared" ref="T25" ca="1" si="35">T13/10^9-T21-T22-T24</f>
        <v>1.3322676295501878E-15</v>
      </c>
      <c r="U25" s="62">
        <f t="shared" ref="U25" ca="1" si="36">U13/10^9-U21-U22-U24</f>
        <v>-9.9920072216264089E-16</v>
      </c>
      <c r="V25" s="62">
        <f t="shared" ref="V25" ca="1" si="37">V13/10^9-V21-V22-V24</f>
        <v>9.9920072216264089E-16</v>
      </c>
      <c r="W25" s="62">
        <f t="shared" ref="W25" ca="1" si="38">W13/10^9-W21-W22-W24</f>
        <v>0</v>
      </c>
      <c r="X25" s="62">
        <f t="shared" ref="X25" ca="1" si="39">X13/10^9-X21-X22-X24</f>
        <v>0</v>
      </c>
      <c r="Y25" s="62">
        <f t="shared" ref="Y25" ca="1" si="40">Y13/10^9-Y21-Y22-Y24</f>
        <v>2.4980018054066022E-16</v>
      </c>
      <c r="Z25" s="62">
        <f t="shared" ref="Z25" ca="1" si="41">Z13/10^9-Z21-Z22-Z24</f>
        <v>-1.3461454173580023E-15</v>
      </c>
      <c r="AA25" s="62">
        <f t="shared" ref="AA25" ca="1" si="42">AA13/10^9-AA21-AA22-AA24</f>
        <v>1.5161483180037294E-15</v>
      </c>
      <c r="AB25" s="62">
        <f t="shared" ref="AB25" ca="1" si="43">AB13/10^9-AB21-AB22-AB24</f>
        <v>-3.4694469519536142E-16</v>
      </c>
      <c r="AC25" s="62">
        <f t="shared" ref="AC25" ca="1" si="44">AC13/10^9-AC21-AC22-AC24</f>
        <v>3.6082248300317588E-16</v>
      </c>
      <c r="AD25" s="62">
        <f t="shared" ref="AD25" ca="1" si="45">AD13/10^9-AD21-AD22-AD24</f>
        <v>1.1657341758564144E-15</v>
      </c>
      <c r="AE25" s="62">
        <f t="shared" ref="AE25" ca="1" si="46">AE13/10^9-AE21-AE22-AE24</f>
        <v>1.3600232051658168E-15</v>
      </c>
      <c r="AF25" s="62">
        <f t="shared" ref="AF25" ca="1" si="47">AF13/10^9-AF21-AF22-AF24</f>
        <v>1.0269562977782698E-15</v>
      </c>
      <c r="AG25" s="62">
        <f t="shared" ref="AG25" ca="1" si="48">AG13/10^9-AG21-AG22-AG24</f>
        <v>7.7715611723760958E-16</v>
      </c>
      <c r="AH25" s="62">
        <f t="shared" ref="AH25" ca="1" si="49">AH13/10^9-AH21-AH22-AH24</f>
        <v>-3.3306690738754696E-16</v>
      </c>
      <c r="AI25" s="62">
        <f t="shared" ref="AI25" ca="1" si="50">AI13/10^9-AI21-AI22-AI24</f>
        <v>-3.8857805861880479E-16</v>
      </c>
      <c r="AJ25" s="62">
        <f t="shared" ref="AJ25" ca="1" si="51">AJ13/10^9-AJ21-AJ22-AJ24</f>
        <v>-7.2164496600635175E-16</v>
      </c>
      <c r="AK25" s="62">
        <f t="shared" ref="AK25" ca="1" si="52">AK13/10^9-AK21-AK22-AK24</f>
        <v>1.3600232051658168E-15</v>
      </c>
      <c r="AL25" s="62">
        <f t="shared" ref="AL25" ca="1" si="53">AL13/10^9-AL21-AL22-AL24</f>
        <v>-4.7184478546569153E-16</v>
      </c>
      <c r="AM25" s="62">
        <f t="shared" ref="AM25" ca="1" si="54">AM13/10^9-AM21-AM22-AM24</f>
        <v>7.4940054162198066E-16</v>
      </c>
      <c r="AN25" s="62">
        <f t="shared" ref="AN25" ca="1" si="55">AN13/10^9-AN21-AN22-AN24</f>
        <v>6.106226635438361E-16</v>
      </c>
      <c r="AO25" s="62">
        <f t="shared" ref="AO25" ca="1" si="56">AO13/10^9-AO21-AO22-AO24</f>
        <v>0</v>
      </c>
      <c r="AP25" s="62">
        <f t="shared" ref="AP25" ca="1" si="57">AP13/10^9-AP21-AP22-AP24</f>
        <v>6.106226635438361E-16</v>
      </c>
      <c r="AQ25" s="62">
        <f t="shared" ref="AQ25" ca="1" si="58">AQ13/10^9-AQ21-AQ22-AQ24</f>
        <v>0</v>
      </c>
      <c r="AR25" s="62">
        <f t="shared" ref="AR25" ca="1" si="59">AR13/10^9-AR21-AR22-AR24</f>
        <v>-9.9920072216264089E-16</v>
      </c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</row>
    <row r="26" spans="3:60" x14ac:dyDescent="0.25">
      <c r="C26" s="45" t="s">
        <v>112</v>
      </c>
      <c r="D26" s="9"/>
      <c r="E26" s="10">
        <f>SUMPRODUCT($A$34:$A$43,E34:E43)-E10*'Dashboard and Input Variables'!$B$28</f>
        <v>5.5078140200621002</v>
      </c>
      <c r="F26" s="10">
        <f ca="1">SUMPRODUCT($A$34:$A$43,F34:F43)-F10*'Dashboard and Input Variables'!$B$28</f>
        <v>11.639219630910723</v>
      </c>
      <c r="G26" s="10">
        <f ca="1">SUMPRODUCT($A$34:$A$43,G34:G43)-G10*'Dashboard and Input Variables'!$B$28</f>
        <v>15.50148859578241</v>
      </c>
      <c r="H26" s="10">
        <f ca="1">SUMPRODUCT($A$34:$A$43,H34:H43)-H10*'Dashboard and Input Variables'!$B$28</f>
        <v>18.989695057137077</v>
      </c>
      <c r="I26" s="10">
        <f ca="1">SUMPRODUCT($A$34:$A$43,I34:I43)-I10*'Dashboard and Input Variables'!$B$28</f>
        <v>22.500533864372365</v>
      </c>
      <c r="J26" s="10">
        <f ca="1">SUMPRODUCT($A$34:$A$43,J34:J43)-J10*'Dashboard and Input Variables'!$B$28</f>
        <v>25.987064332286661</v>
      </c>
      <c r="K26" s="10">
        <f ca="1">SUMPRODUCT($A$34:$A$43,K34:K43)-K10*'Dashboard and Input Variables'!$B$28</f>
        <v>29.455702448690147</v>
      </c>
      <c r="L26" s="10">
        <f ca="1">SUMPRODUCT($A$34:$A$43,L34:L43)-L10*'Dashboard and Input Variables'!$B$28</f>
        <v>32.90643765522595</v>
      </c>
      <c r="M26" s="10">
        <f ca="1">SUMPRODUCT($A$34:$A$43,M34:M43)-M10*'Dashboard and Input Variables'!$B$28</f>
        <v>36.340024370925015</v>
      </c>
      <c r="N26" s="10">
        <f ca="1">SUMPRODUCT($A$34:$A$43,N34:N43)-N10*'Dashboard and Input Variables'!$B$28</f>
        <v>39.757117093977733</v>
      </c>
      <c r="O26" s="10">
        <f ca="1">SUMPRODUCT($A$34:$A$43,O34:O43)-O10*'Dashboard and Input Variables'!$B$28</f>
        <v>43.158374611420314</v>
      </c>
      <c r="P26" s="10">
        <f ca="1">SUMPRODUCT($A$34:$A$43,P34:P43)-P10*'Dashboard and Input Variables'!$B$28</f>
        <v>46.544447632097267</v>
      </c>
      <c r="Q26" s="10">
        <f ca="1">SUMPRODUCT($A$34:$A$43,Q34:Q43)-Q10*'Dashboard and Input Variables'!$B$28</f>
        <v>49.915980440394073</v>
      </c>
      <c r="R26" s="10">
        <f ca="1">SUMPRODUCT($A$34:$A$43,R34:R43)-R10*'Dashboard and Input Variables'!$B$28</f>
        <v>53.273610861154907</v>
      </c>
      <c r="S26" s="10">
        <f ca="1">SUMPRODUCT($A$34:$A$43,S34:S43)-S10*'Dashboard and Input Variables'!$B$28</f>
        <v>56.617970425538971</v>
      </c>
      <c r="T26" s="10">
        <f ca="1">SUMPRODUCT($A$34:$A$43,T34:T43)-T10*'Dashboard and Input Variables'!$B$28</f>
        <v>59.949684510536237</v>
      </c>
      <c r="U26" s="10">
        <f ca="1">SUMPRODUCT($A$34:$A$43,U34:U43)-U10*'Dashboard and Input Variables'!$B$28</f>
        <v>63.26937247952165</v>
      </c>
      <c r="V26" s="10">
        <f ca="1">SUMPRODUCT($A$34:$A$43,V34:V43)-V10*'Dashboard and Input Variables'!$B$28</f>
        <v>66.577647820593242</v>
      </c>
      <c r="W26" s="10">
        <f ca="1">SUMPRODUCT($A$34:$A$43,W34:W43)-W10*'Dashboard and Input Variables'!$B$28</f>
        <v>69.875118283124436</v>
      </c>
      <c r="X26" s="10">
        <f ca="1">SUMPRODUCT($A$34:$A$43,X34:X43)-X10*'Dashboard and Input Variables'!$B$28</f>
        <v>73.162386012516052</v>
      </c>
      <c r="Y26" s="10">
        <f ca="1">SUMPRODUCT($A$34:$A$43,Y34:Y43)-Y10*'Dashboard and Input Variables'!$B$28</f>
        <v>72.402311442120691</v>
      </c>
      <c r="Z26" s="10">
        <f ca="1">SUMPRODUCT($A$34:$A$43,Z34:Z43)-Z10*'Dashboard and Input Variables'!$B$28</f>
        <v>72.273280715747632</v>
      </c>
      <c r="AA26" s="10">
        <f ca="1">SUMPRODUCT($A$34:$A$43,AA34:AA43)-AA10*'Dashboard and Input Variables'!$B$28</f>
        <v>72.20811844113382</v>
      </c>
      <c r="AB26" s="10">
        <f ca="1">SUMPRODUCT($A$34:$A$43,AB34:AB43)-AB10*'Dashboard and Input Variables'!$B$28</f>
        <v>72.560899878707062</v>
      </c>
      <c r="AC26" s="10">
        <f ca="1">SUMPRODUCT($A$34:$A$43,AC34:AC43)-AC10*'Dashboard and Input Variables'!$B$28</f>
        <v>72.885953372222701</v>
      </c>
      <c r="AD26" s="10">
        <f ca="1">SUMPRODUCT($A$34:$A$43,AD34:AD43)-AD10*'Dashboard and Input Variables'!$B$28</f>
        <v>73.283972390417389</v>
      </c>
      <c r="AE26" s="10">
        <f ca="1">SUMPRODUCT($A$34:$A$43,AE34:AE43)-AE10*'Dashboard and Input Variables'!$B$28</f>
        <v>73.735814410288228</v>
      </c>
      <c r="AF26" s="10">
        <f ca="1">SUMPRODUCT($A$34:$A$43,AF34:AF43)-AF10*'Dashboard and Input Variables'!$B$28</f>
        <v>74.24329746383512</v>
      </c>
      <c r="AG26" s="10">
        <f ca="1">SUMPRODUCT($A$34:$A$43,AG34:AG43)-AG10*'Dashboard and Input Variables'!$B$28</f>
        <v>74.804966272338007</v>
      </c>
      <c r="AH26" s="10">
        <f ca="1">SUMPRODUCT($A$34:$A$43,AH34:AH43)-AH10*'Dashboard and Input Variables'!$B$28</f>
        <v>75.419884466290938</v>
      </c>
      <c r="AI26" s="10">
        <f ca="1">SUMPRODUCT($A$34:$A$43,AI34:AI43)-AI10*'Dashboard and Input Variables'!$B$28</f>
        <v>76.087072234945069</v>
      </c>
      <c r="AJ26" s="10">
        <f ca="1">SUMPRODUCT($A$34:$A$43,AJ34:AJ43)-AJ10*'Dashboard and Input Variables'!$B$28</f>
        <v>76.805586084423041</v>
      </c>
      <c r="AK26" s="10">
        <f ca="1">SUMPRODUCT($A$34:$A$43,AK34:AK43)-AK10*'Dashboard and Input Variables'!$B$28</f>
        <v>77.574507140077429</v>
      </c>
      <c r="AL26" s="10">
        <f ca="1">SUMPRODUCT($A$34:$A$43,AL34:AL43)-AL10*'Dashboard and Input Variables'!$B$28</f>
        <v>78.392942173487256</v>
      </c>
      <c r="AM26" s="10">
        <f ca="1">SUMPRODUCT($A$34:$A$43,AM34:AM43)-AM10*'Dashboard and Input Variables'!$B$28</f>
        <v>79.260022904553935</v>
      </c>
      <c r="AN26" s="10">
        <f ca="1">SUMPRODUCT($A$34:$A$43,AN34:AN43)-AN10*'Dashboard and Input Variables'!$B$28</f>
        <v>80.174905547265524</v>
      </c>
      <c r="AO26" s="10">
        <f ca="1">SUMPRODUCT($A$34:$A$43,AO34:AO43)-AO10*'Dashboard and Input Variables'!$B$28</f>
        <v>81.13677033437007</v>
      </c>
      <c r="AP26" s="10">
        <f ca="1">SUMPRODUCT($A$34:$A$43,AP34:AP43)-AP10*'Dashboard and Input Variables'!$B$28</f>
        <v>82.144821055933363</v>
      </c>
      <c r="AQ26" s="10">
        <f ca="1">SUMPRODUCT($A$34:$A$43,AQ34:AQ43)-AQ10*'Dashboard and Input Variables'!$B$28</f>
        <v>83.19828460696543</v>
      </c>
      <c r="AR26" s="10">
        <f ca="1">SUMPRODUCT($A$34:$A$43,AR34:AR43)-AR10*'Dashboard and Input Variables'!$B$28</f>
        <v>84.296410544541132</v>
      </c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</row>
    <row r="27" spans="3:60" x14ac:dyDescent="0.25">
      <c r="C27" s="45" t="s">
        <v>201</v>
      </c>
      <c r="D27" s="9"/>
      <c r="E27" s="100">
        <f>SUM($D$26:E$26)/SUM($D4:E4)</f>
        <v>5.7219802329430941E-2</v>
      </c>
      <c r="F27" s="100">
        <f ca="1">SUM($D$26:F$26)/SUM($D4:F4)</f>
        <v>0.11816672035606118</v>
      </c>
      <c r="G27" s="100">
        <f ca="1">SUM($D$26:G$26)/SUM($D4:G4)</f>
        <v>0.16790272557796135</v>
      </c>
      <c r="H27" s="100">
        <f ca="1">SUM($D$26:H$26)/SUM($D4:H4)</f>
        <v>0.2113871746395907</v>
      </c>
      <c r="I27" s="100">
        <f ca="1">SUM($D$26:I$26)/SUM($D4:I4)</f>
        <v>0.25164657259072359</v>
      </c>
      <c r="J27" s="100">
        <f ca="1">SUM($D$26:J$26)/SUM($D4:J4)</f>
        <v>0.28984182374236722</v>
      </c>
      <c r="K27" s="100">
        <f ca="1">SUM($D$26:K$26)/SUM($D4:K4)</f>
        <v>0.32657169822101689</v>
      </c>
      <c r="L27" s="100">
        <f ca="1">SUM($D$26:L$26)/SUM($D4:L4)</f>
        <v>0.36217043328262716</v>
      </c>
      <c r="M27" s="100">
        <f ca="1">SUM($D$26:M$26)/SUM($D4:M4)</f>
        <v>0.39684152063188305</v>
      </c>
      <c r="N27" s="100">
        <f ca="1">SUM($D$26:N$26)/SUM($D4:N4)</f>
        <v>0.43071691535811435</v>
      </c>
      <c r="O27" s="100">
        <f ca="1">SUM($D$26:O$26)/SUM($D4:O4)</f>
        <v>0.46388681729923203</v>
      </c>
      <c r="P27" s="100">
        <f ca="1">SUM($D$26:P$26)/SUM($D4:P4)</f>
        <v>0.49641568849814371</v>
      </c>
      <c r="Q27" s="100">
        <f ca="1">SUM($D$26:Q$26)/SUM($D4:Q4)</f>
        <v>0.52835140891157373</v>
      </c>
      <c r="R27" s="100">
        <f ca="1">SUM($D$26:R$26)/SUM($D4:R4)</f>
        <v>0.55973077024890883</v>
      </c>
      <c r="S27" s="100">
        <f ca="1">SUM($D$26:S$26)/SUM($D4:S4)</f>
        <v>0.59058291025105258</v>
      </c>
      <c r="T27" s="100">
        <f ca="1">SUM($D$26:T$26)/SUM($D4:T4)</f>
        <v>0.62093153542416957</v>
      </c>
      <c r="U27" s="100">
        <f ca="1">SUM($D$26:U$26)/SUM($D4:U4)</f>
        <v>0.65079640337807776</v>
      </c>
      <c r="V27" s="100">
        <f ca="1">SUM($D$26:V$26)/SUM($D4:V4)</f>
        <v>0.68019433753694591</v>
      </c>
      <c r="W27" s="100">
        <f ca="1">SUM($D$26:W$26)/SUM($D4:W4)</f>
        <v>0.70913993788344842</v>
      </c>
      <c r="X27" s="100">
        <f ca="1">SUM($D$26:X$26)/SUM($D4:X4)</f>
        <v>0.73764608905052642</v>
      </c>
      <c r="Y27" s="100">
        <f ca="1">SUM($D$26:Y$26)/SUM($D4:Y4)</f>
        <v>0.762278935600192</v>
      </c>
      <c r="Z27" s="100">
        <f ca="1">SUM($D$26:Z$26)/SUM($D4:Z4)</f>
        <v>0.78406896108345792</v>
      </c>
      <c r="AA27" s="100">
        <f ca="1">SUM($D$26:AA$26)/SUM($D4:AA4)</f>
        <v>0.80342562747992907</v>
      </c>
      <c r="AB27" s="100">
        <f ca="1">SUM($D$26:AB$26)/SUM($D4:AB4)</f>
        <v>0.82095367474906833</v>
      </c>
      <c r="AC27" s="100">
        <f ca="1">SUM($D$26:AC$26)/SUM($D4:AC4)</f>
        <v>0.83684345718961406</v>
      </c>
      <c r="AD27" s="100">
        <f ca="1">SUM($D$26:AD$26)/SUM($D4:AD4)</f>
        <v>0.85132576580723196</v>
      </c>
      <c r="AE27" s="100">
        <f ca="1">SUM($D$26:AE$26)/SUM($D4:AE4)</f>
        <v>0.86458501276005417</v>
      </c>
      <c r="AF27" s="100">
        <f ca="1">SUM($D$26:AF$26)/SUM($D4:AF4)</f>
        <v>0.87678063308815701</v>
      </c>
      <c r="AG27" s="100">
        <f ca="1">SUM($D$26:AG$26)/SUM($D4:AG4)</f>
        <v>0.8880492600850487</v>
      </c>
      <c r="AH27" s="100">
        <f ca="1">SUM($D$26:AH$26)/SUM($D4:AH4)</f>
        <v>0.89850873097140882</v>
      </c>
      <c r="AI27" s="100">
        <f ca="1">SUM($D$26:AI$26)/SUM($D4:AI4)</f>
        <v>0.90826101897225775</v>
      </c>
      <c r="AJ27" s="100">
        <f ca="1">SUM($D$26:AJ$26)/SUM($D4:AJ4)</f>
        <v>0.91739467571941646</v>
      </c>
      <c r="AK27" s="100">
        <f ca="1">SUM($D$26:AK$26)/SUM($D4:AK4)</f>
        <v>0.9259868358227592</v>
      </c>
      <c r="AL27" s="100">
        <f ca="1">SUM($D$26:AL$26)/SUM($D4:AL4)</f>
        <v>0.93410487777829565</v>
      </c>
      <c r="AM27" s="100">
        <f ca="1">SUM($D$26:AM$26)/SUM($D4:AM4)</f>
        <v>0.94180780718672896</v>
      </c>
      <c r="AN27" s="100">
        <f ca="1">SUM($D$26:AN$26)/SUM($D4:AN4)</f>
        <v>0.9491474149496697</v>
      </c>
      <c r="AO27" s="100">
        <f ca="1">SUM($D$26:AO$26)/SUM($D4:AO4)</f>
        <v>0.95616925189768309</v>
      </c>
      <c r="AP27" s="100">
        <f ca="1">SUM($D$26:AP$26)/SUM($D4:AP4)</f>
        <v>0.96291345281661422</v>
      </c>
      <c r="AQ27" s="100">
        <f ca="1">SUM($D$26:AQ$26)/SUM($D4:AQ4)</f>
        <v>0.96941543624292981</v>
      </c>
      <c r="AR27" s="100">
        <f ca="1">SUM($D$26:AR$26)/SUM($D4:AR4)</f>
        <v>0.97570650125321157</v>
      </c>
    </row>
    <row r="28" spans="3:60" x14ac:dyDescent="0.25">
      <c r="C28" s="45" t="s">
        <v>199</v>
      </c>
      <c r="D28" s="9"/>
      <c r="E28" s="100">
        <f>SUM($D$26:E$26)/SUM($D5:E5)</f>
        <v>2.3512257718651827E-2</v>
      </c>
      <c r="F28" s="100">
        <f ca="1">SUM($D$26:F$26)/SUM($D5:F5)</f>
        <v>4.8556029026170233E-2</v>
      </c>
      <c r="G28" s="100">
        <f ca="1">SUM($D$26:G$26)/SUM($D5:G5)</f>
        <v>6.8993110684385739E-2</v>
      </c>
      <c r="H28" s="100">
        <f ca="1">SUM($D$26:H$26)/SUM($D5:H5)</f>
        <v>8.6861357890209046E-2</v>
      </c>
      <c r="I28" s="100">
        <f ca="1">SUM($D$26:I$26)/SUM($D5:I5)</f>
        <v>0.10340439546966471</v>
      </c>
      <c r="J28" s="100">
        <f ca="1">SUM($D$26:J$26)/SUM($D5:J5)</f>
        <v>0.11909925200789086</v>
      </c>
      <c r="K28" s="100">
        <f ca="1">SUM($D$26:K$26)/SUM($D5:K5)</f>
        <v>0.13419196885692394</v>
      </c>
      <c r="L28" s="100">
        <f ca="1">SUM($D$26:L$26)/SUM($D5:L5)</f>
        <v>0.14881988784915842</v>
      </c>
      <c r="M28" s="100">
        <f ca="1">SUM($D$26:M$26)/SUM($D5:M5)</f>
        <v>0.16306662600544006</v>
      </c>
      <c r="N28" s="100">
        <f ca="1">SUM($D$26:N$26)/SUM($D5:N5)</f>
        <v>0.17698640515005509</v>
      </c>
      <c r="O28" s="100">
        <f ca="1">SUM($D$26:O$26)/SUM($D5:O5)</f>
        <v>0.19061628940676506</v>
      </c>
      <c r="P28" s="100">
        <f ca="1">SUM($D$26:P$26)/SUM($D5:P5)</f>
        <v>0.2039827669510654</v>
      </c>
      <c r="Q28" s="100">
        <f ca="1">SUM($D$26:Q$26)/SUM($D5:Q5)</f>
        <v>0.2171055121934963</v>
      </c>
      <c r="R28" s="100">
        <f ca="1">SUM($D$26:R$26)/SUM($D5:R5)</f>
        <v>0.22999964325956321</v>
      </c>
      <c r="S28" s="100">
        <f ca="1">SUM($D$26:S$26)/SUM($D5:S5)</f>
        <v>0.2426771331733866</v>
      </c>
      <c r="T28" s="100">
        <f ca="1">SUM($D$26:T$26)/SUM($D5:T5)</f>
        <v>0.25514772320389556</v>
      </c>
      <c r="U28" s="100">
        <f ca="1">SUM($D$26:U$26)/SUM($D5:U5)</f>
        <v>0.26741953197427687</v>
      </c>
      <c r="V28" s="100">
        <f ca="1">SUM($D$26:V$26)/SUM($D5:V5)</f>
        <v>0.2794994724179673</v>
      </c>
      <c r="W28" s="100">
        <f ca="1">SUM($D$26:W$26)/SUM($D5:W5)</f>
        <v>0.29139354383138799</v>
      </c>
      <c r="X28" s="100">
        <f ca="1">SUM($D$26:X$26)/SUM($D5:X5)</f>
        <v>0.30310704065454014</v>
      </c>
      <c r="Y28" s="100">
        <f ca="1">SUM($D$26:Y$26)/SUM($D5:Y5)</f>
        <v>0.31322895322399064</v>
      </c>
      <c r="Z28" s="100">
        <f ca="1">SUM($D$26:Z$26)/SUM($D5:Z5)</f>
        <v>0.3221827187737018</v>
      </c>
      <c r="AA28" s="100">
        <f ca="1">SUM($D$26:AA$26)/SUM($D5:AA5)</f>
        <v>0.33013658981763772</v>
      </c>
      <c r="AB28" s="100">
        <f ca="1">SUM($D$26:AB$26)/SUM($D5:AB5)</f>
        <v>0.33733906077907161</v>
      </c>
      <c r="AC28" s="100">
        <f ca="1">SUM($D$26:AC$26)/SUM($D5:AC5)</f>
        <v>0.34386835037158836</v>
      </c>
      <c r="AD28" s="100">
        <f ca="1">SUM($D$26:AD$26)/SUM($D5:AD5)</f>
        <v>0.34981929320459682</v>
      </c>
      <c r="AE28" s="100">
        <f ca="1">SUM($D$26:AE$26)/SUM($D5:AE5)</f>
        <v>0.35526766629954637</v>
      </c>
      <c r="AF28" s="100">
        <f ca="1">SUM($D$26:AF$26)/SUM($D5:AF5)</f>
        <v>0.36027898330029906</v>
      </c>
      <c r="AG28" s="100">
        <f ca="1">SUM($D$26:AG$26)/SUM($D5:AG5)</f>
        <v>0.36490938835764053</v>
      </c>
      <c r="AH28" s="100">
        <f ca="1">SUM($D$26:AH$26)/SUM($D5:AH5)</f>
        <v>0.36920730210548897</v>
      </c>
      <c r="AI28" s="100">
        <f ca="1">SUM($D$26:AI$26)/SUM($D5:AI5)</f>
        <v>0.37321462648424752</v>
      </c>
      <c r="AJ28" s="100">
        <f ca="1">SUM($D$26:AJ$26)/SUM($D5:AJ5)</f>
        <v>0.37696774835133301</v>
      </c>
      <c r="AK28" s="100">
        <f ca="1">SUM($D$26:AK$26)/SUM($D5:AK5)</f>
        <v>0.3804983631819579</v>
      </c>
      <c r="AL28" s="100">
        <f ca="1">SUM($D$26:AL$26)/SUM($D5:AL5)</f>
        <v>0.3838341575548655</v>
      </c>
      <c r="AM28" s="100">
        <f ca="1">SUM($D$26:AM$26)/SUM($D5:AM5)</f>
        <v>0.38699937753232971</v>
      </c>
      <c r="AN28" s="100">
        <f ca="1">SUM($D$26:AN$26)/SUM($D5:AN5)</f>
        <v>0.39001530457595246</v>
      </c>
      <c r="AO28" s="100">
        <f ca="1">SUM($D$26:AO$26)/SUM($D5:AO5)</f>
        <v>0.39290065603224578</v>
      </c>
      <c r="AP28" s="100">
        <f ca="1">SUM($D$26:AP$26)/SUM($D5:AP5)</f>
        <v>0.39567192373427895</v>
      </c>
      <c r="AQ28" s="100">
        <f ca="1">SUM($D$26:AQ$26)/SUM($D5:AQ5)</f>
        <v>0.39834366155542311</v>
      </c>
      <c r="AR28" s="100">
        <f ca="1">SUM($D$26:AR$26)/SUM($D5:AR5)</f>
        <v>0.40092873063683893</v>
      </c>
    </row>
    <row r="29" spans="3:60" ht="15.75" thickBot="1" x14ac:dyDescent="0.3">
      <c r="C29" s="53" t="s">
        <v>200</v>
      </c>
      <c r="D29" s="26"/>
      <c r="E29" s="101">
        <f>SUM($D$26:E$26)/SUM($D6:E6)</f>
        <v>7.2862625987836528E-3</v>
      </c>
      <c r="F29" s="101">
        <f ca="1">SUM($D$26:F$26)/SUM($D6:F6)</f>
        <v>1.5047129138865347E-2</v>
      </c>
      <c r="G29" s="101">
        <f ca="1">SUM($D$26:G$26)/SUM($D6:G6)</f>
        <v>2.1380419012445442E-2</v>
      </c>
      <c r="H29" s="101">
        <f ca="1">SUM($D$26:H$26)/SUM($D6:H6)</f>
        <v>2.6917647418134932E-2</v>
      </c>
      <c r="I29" s="101">
        <f ca="1">SUM($D$26:I$26)/SUM($D6:I6)</f>
        <v>3.2044203847883514E-2</v>
      </c>
      <c r="J29" s="101">
        <f ca="1">SUM($D$26:J$26)/SUM($D6:J6)</f>
        <v>3.6907915685179142E-2</v>
      </c>
      <c r="K29" s="101">
        <f ca="1">SUM($D$26:K$26)/SUM($D6:K6)</f>
        <v>4.1585029197928058E-2</v>
      </c>
      <c r="L29" s="101">
        <f ca="1">SUM($D$26:L$26)/SUM($D6:L6)</f>
        <v>4.611810553311152E-2</v>
      </c>
      <c r="M29" s="101">
        <f ca="1">SUM($D$26:M$26)/SUM($D6:M6)</f>
        <v>5.0533056943772164E-2</v>
      </c>
      <c r="N29" s="101">
        <f ca="1">SUM($D$26:N$26)/SUM($D6:N6)</f>
        <v>5.4846686344162766E-2</v>
      </c>
      <c r="O29" s="101">
        <f ca="1">SUM($D$26:O$26)/SUM($D6:O6)</f>
        <v>5.9070479612923797E-2</v>
      </c>
      <c r="P29" s="101">
        <f ca="1">SUM($D$26:P$26)/SUM($D6:P6)</f>
        <v>6.3212645226022615E-2</v>
      </c>
      <c r="Q29" s="101">
        <f ca="1">SUM($D$26:Q$26)/SUM($D6:Q6)</f>
        <v>6.7279280127588895E-2</v>
      </c>
      <c r="R29" s="101">
        <f ca="1">SUM($D$26:R$26)/SUM($D6:R6)</f>
        <v>7.1275069305076891E-2</v>
      </c>
      <c r="S29" s="101">
        <f ca="1">SUM($D$26:S$26)/SUM($D6:S6)</f>
        <v>7.5203723103911019E-2</v>
      </c>
      <c r="T29" s="101">
        <f ca="1">SUM($D$26:T$26)/SUM($D6:T6)</f>
        <v>7.9068260266243195E-2</v>
      </c>
      <c r="U29" s="101">
        <f ca="1">SUM($D$26:U$26)/SUM($D6:U6)</f>
        <v>8.2871196689150925E-2</v>
      </c>
      <c r="V29" s="101">
        <f ca="1">SUM($D$26:V$26)/SUM($D6:V6)</f>
        <v>8.6614674635999603E-2</v>
      </c>
      <c r="W29" s="101">
        <f ca="1">SUM($D$26:W$26)/SUM($D6:W6)</f>
        <v>9.0300553241273687E-2</v>
      </c>
      <c r="X29" s="101">
        <f ca="1">SUM($D$26:X$26)/SUM($D6:X6)</f>
        <v>9.393047321003109E-2</v>
      </c>
      <c r="Y29" s="101">
        <f ca="1">SUM($D$26:Y$26)/SUM($D6:Y6)</f>
        <v>9.7067173813837421E-2</v>
      </c>
      <c r="Z29" s="101">
        <f ca="1">SUM($D$26:Z$26)/SUM($D6:Z6)</f>
        <v>9.9841874900555475E-2</v>
      </c>
      <c r="AA29" s="101">
        <f ca="1">SUM($D$26:AA$26)/SUM($D6:AA6)</f>
        <v>0.10230671659276797</v>
      </c>
      <c r="AB29" s="101">
        <f ca="1">SUM($D$26:AB$26)/SUM($D6:AB6)</f>
        <v>0.10453870534574469</v>
      </c>
      <c r="AC29" s="101">
        <f ca="1">SUM($D$26:AC$26)/SUM($D6:AC6)</f>
        <v>0.10656208051982857</v>
      </c>
      <c r="AD29" s="101">
        <f ca="1">SUM($D$26:AD$26)/SUM($D6:AD6)</f>
        <v>0.10840623060998568</v>
      </c>
      <c r="AE29" s="101">
        <f ca="1">SUM($D$26:AE$26)/SUM($D6:AE6)</f>
        <v>0.11009463831548894</v>
      </c>
      <c r="AF29" s="101">
        <f ca="1">SUM($D$26:AF$26)/SUM($D6:AF6)</f>
        <v>0.11164760579611786</v>
      </c>
      <c r="AG29" s="101">
        <f ca="1">SUM($D$26:AG$26)/SUM($D6:AG6)</f>
        <v>0.11308253167989471</v>
      </c>
      <c r="AH29" s="101">
        <f ca="1">SUM($D$26:AH$26)/SUM($D6:AH6)</f>
        <v>0.11441442113808589</v>
      </c>
      <c r="AI29" s="101">
        <f ca="1">SUM($D$26:AI$26)/SUM($D6:AI6)</f>
        <v>0.11565625925042421</v>
      </c>
      <c r="AJ29" s="101">
        <f ca="1">SUM($D$26:AJ$26)/SUM($D6:AJ6)</f>
        <v>0.11681932201606961</v>
      </c>
      <c r="AK29" s="101">
        <f ca="1">SUM($D$26:AK$26)/SUM($D6:AK6)</f>
        <v>0.11791343161196288</v>
      </c>
      <c r="AL29" s="101">
        <f ca="1">SUM($D$26:AL$26)/SUM($D6:AL6)</f>
        <v>0.11894716788975419</v>
      </c>
      <c r="AM29" s="101">
        <f ca="1">SUM($D$26:AM$26)/SUM($D6:AM6)</f>
        <v>0.11992804451226692</v>
      </c>
      <c r="AN29" s="101">
        <f ca="1">SUM($D$26:AN$26)/SUM($D6:AN6)</f>
        <v>0.12086265643603707</v>
      </c>
      <c r="AO29" s="101">
        <f ca="1">SUM($D$26:AO$26)/SUM($D6:AO6)</f>
        <v>0.12175680401862581</v>
      </c>
      <c r="AP29" s="101">
        <f ca="1">SUM($D$26:AP$26)/SUM($D6:AP6)</f>
        <v>0.12261559794859042</v>
      </c>
      <c r="AQ29" s="101">
        <f ca="1">SUM($D$26:AQ$26)/SUM($D6:AQ6)</f>
        <v>0.12344354835611404</v>
      </c>
      <c r="AR29" s="101">
        <f ca="1">SUM($D$26:AR$26)/SUM($D6:AR6)</f>
        <v>0.12424464080706357</v>
      </c>
    </row>
    <row r="30" spans="3:60" ht="15.75" thickBot="1" x14ac:dyDescent="0.3"/>
    <row r="31" spans="3:60" ht="17.25" customHeight="1" thickBot="1" x14ac:dyDescent="0.35">
      <c r="C31" s="81" t="s">
        <v>135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3"/>
    </row>
    <row r="32" spans="3:60" ht="18.75" x14ac:dyDescent="0.3">
      <c r="C32" s="56" t="s">
        <v>137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8"/>
    </row>
    <row r="33" spans="1:60" ht="30" customHeight="1" x14ac:dyDescent="0.25">
      <c r="A33" s="2" t="s">
        <v>86</v>
      </c>
      <c r="B33" s="2"/>
      <c r="C33" s="70" t="s">
        <v>136</v>
      </c>
      <c r="D33" s="71" t="s">
        <v>111</v>
      </c>
      <c r="E33" s="71" t="s">
        <v>138</v>
      </c>
      <c r="F33" s="71" t="s">
        <v>138</v>
      </c>
      <c r="G33" s="71" t="s">
        <v>138</v>
      </c>
      <c r="H33" s="71" t="s">
        <v>138</v>
      </c>
      <c r="I33" s="71" t="s">
        <v>138</v>
      </c>
      <c r="J33" s="71" t="s">
        <v>138</v>
      </c>
      <c r="K33" s="71" t="s">
        <v>138</v>
      </c>
      <c r="L33" s="71" t="s">
        <v>138</v>
      </c>
      <c r="M33" s="71" t="s">
        <v>138</v>
      </c>
      <c r="N33" s="71" t="s">
        <v>138</v>
      </c>
      <c r="O33" s="71" t="s">
        <v>138</v>
      </c>
      <c r="P33" s="71" t="s">
        <v>138</v>
      </c>
      <c r="Q33" s="71" t="s">
        <v>138</v>
      </c>
      <c r="R33" s="71" t="s">
        <v>138</v>
      </c>
      <c r="S33" s="71" t="s">
        <v>138</v>
      </c>
      <c r="T33" s="71" t="s">
        <v>138</v>
      </c>
      <c r="U33" s="71" t="s">
        <v>138</v>
      </c>
      <c r="V33" s="71" t="s">
        <v>138</v>
      </c>
      <c r="W33" s="71" t="s">
        <v>138</v>
      </c>
      <c r="X33" s="71" t="s">
        <v>138</v>
      </c>
      <c r="Y33" s="71" t="s">
        <v>138</v>
      </c>
      <c r="Z33" s="71" t="s">
        <v>138</v>
      </c>
      <c r="AA33" s="71" t="s">
        <v>138</v>
      </c>
      <c r="AB33" s="71" t="s">
        <v>138</v>
      </c>
      <c r="AC33" s="71" t="s">
        <v>138</v>
      </c>
      <c r="AD33" s="71" t="s">
        <v>138</v>
      </c>
      <c r="AE33" s="71" t="s">
        <v>138</v>
      </c>
      <c r="AF33" s="71" t="s">
        <v>138</v>
      </c>
      <c r="AG33" s="71" t="s">
        <v>138</v>
      </c>
      <c r="AH33" s="71" t="s">
        <v>138</v>
      </c>
      <c r="AI33" s="71" t="s">
        <v>138</v>
      </c>
      <c r="AJ33" s="71" t="s">
        <v>138</v>
      </c>
      <c r="AK33" s="71" t="s">
        <v>138</v>
      </c>
      <c r="AL33" s="71" t="s">
        <v>138</v>
      </c>
      <c r="AM33" s="71" t="s">
        <v>138</v>
      </c>
      <c r="AN33" s="71" t="s">
        <v>138</v>
      </c>
      <c r="AO33" s="71" t="s">
        <v>138</v>
      </c>
      <c r="AP33" s="71" t="s">
        <v>138</v>
      </c>
      <c r="AQ33" s="71" t="s">
        <v>138</v>
      </c>
      <c r="AR33" s="84" t="s">
        <v>138</v>
      </c>
    </row>
    <row r="34" spans="1:60" x14ac:dyDescent="0.25">
      <c r="A34" s="1">
        <f>'Grid Sizes, Locations, and GHGs'!K5</f>
        <v>2.8907999999999996</v>
      </c>
      <c r="B34" s="1"/>
      <c r="C34" s="76" t="str">
        <f>'Grid Sizes, Locations, and GHGs'!A5</f>
        <v>Onsite Usage Via Cogen</v>
      </c>
      <c r="D34" s="78">
        <f>'Grid Sizes, Locations, and GHGs'!H5</f>
        <v>0.21620091324200919</v>
      </c>
      <c r="E34" s="78">
        <f>MIN(E$10-SUM(E$33:E33),$D34)</f>
        <v>0.21620091324200919</v>
      </c>
      <c r="F34" s="78">
        <f ca="1">MIN(F$10-SUM(F$33:F33),$D34)</f>
        <v>0.21620091324200919</v>
      </c>
      <c r="G34" s="78">
        <f ca="1">MIN(G$10-SUM(G$33:G33),$D34)</f>
        <v>0.21620091324200919</v>
      </c>
      <c r="H34" s="78">
        <f ca="1">MIN(H$10-SUM(H$33:H33),$D34)</f>
        <v>0.21620091324200919</v>
      </c>
      <c r="I34" s="78">
        <f ca="1">MIN(I$10-SUM(I$33:I33),$D34)</f>
        <v>0.21620091324200919</v>
      </c>
      <c r="J34" s="78">
        <f ca="1">MIN(J$10-SUM(J$33:J33),$D34)</f>
        <v>0.21620091324200919</v>
      </c>
      <c r="K34" s="78">
        <f ca="1">MIN(K$10-SUM(K$33:K33),$D34)</f>
        <v>0.21620091324200919</v>
      </c>
      <c r="L34" s="78">
        <f ca="1">MIN(L$10-SUM(L$33:L33),$D34)</f>
        <v>0.21620091324200919</v>
      </c>
      <c r="M34" s="78">
        <f ca="1">MIN(M$10-SUM(M$33:M33),$D34)</f>
        <v>0.21620091324200919</v>
      </c>
      <c r="N34" s="78">
        <f ca="1">MIN(N$10-SUM(N$33:N33),$D34)</f>
        <v>0.21620091324200919</v>
      </c>
      <c r="O34" s="78">
        <f ca="1">MIN(O$10-SUM(O$33:O33),$D34)</f>
        <v>0.21620091324200919</v>
      </c>
      <c r="P34" s="78">
        <f ca="1">MIN(P$10-SUM(P$33:P33),$D34)</f>
        <v>0.21620091324200919</v>
      </c>
      <c r="Q34" s="78">
        <f ca="1">MIN(Q$10-SUM(Q$33:Q33),$D34)</f>
        <v>0.21620091324200919</v>
      </c>
      <c r="R34" s="78">
        <f ca="1">MIN(R$10-SUM(R$33:R33),$D34)</f>
        <v>0.21620091324200919</v>
      </c>
      <c r="S34" s="78">
        <f ca="1">MIN(S$10-SUM(S$33:S33),$D34)</f>
        <v>0.21620091324200919</v>
      </c>
      <c r="T34" s="78">
        <f ca="1">MIN(T$10-SUM(T$33:T33),$D34)</f>
        <v>0.21620091324200919</v>
      </c>
      <c r="U34" s="78">
        <f ca="1">MIN(U$10-SUM(U$33:U33),$D34)</f>
        <v>0.21620091324200919</v>
      </c>
      <c r="V34" s="78">
        <f ca="1">MIN(V$10-SUM(V$33:V33),$D34)</f>
        <v>0.21620091324200919</v>
      </c>
      <c r="W34" s="78">
        <f ca="1">MIN(W$10-SUM(W$33:W33),$D34)</f>
        <v>0.21620091324200919</v>
      </c>
      <c r="X34" s="78">
        <f ca="1">MIN(X$10-SUM(X$33:X33),$D34)</f>
        <v>0.21620091324200919</v>
      </c>
      <c r="Y34" s="78">
        <f ca="1">MIN(Y$10-SUM(Y$33:Y33),$D34)</f>
        <v>0.21620091324200919</v>
      </c>
      <c r="Z34" s="78">
        <f ca="1">MIN(Z$10-SUM(Z$33:Z33),$D34)</f>
        <v>0.21620091324200919</v>
      </c>
      <c r="AA34" s="78">
        <f ca="1">MIN(AA$10-SUM(AA$33:AA33),$D34)</f>
        <v>0.21620091324200919</v>
      </c>
      <c r="AB34" s="78">
        <f ca="1">MIN(AB$10-SUM(AB$33:AB33),$D34)</f>
        <v>0.21620091324200919</v>
      </c>
      <c r="AC34" s="78">
        <f ca="1">MIN(AC$10-SUM(AC$33:AC33),$D34)</f>
        <v>0.21620091324200919</v>
      </c>
      <c r="AD34" s="78">
        <f ca="1">MIN(AD$10-SUM(AD$33:AD33),$D34)</f>
        <v>0.21620091324200919</v>
      </c>
      <c r="AE34" s="78">
        <f ca="1">MIN(AE$10-SUM(AE$33:AE33),$D34)</f>
        <v>0.21620091324200919</v>
      </c>
      <c r="AF34" s="78">
        <f ca="1">MIN(AF$10-SUM(AF$33:AF33),$D34)</f>
        <v>0.21620091324200919</v>
      </c>
      <c r="AG34" s="78">
        <f ca="1">MIN(AG$10-SUM(AG$33:AG33),$D34)</f>
        <v>0.21620091324200919</v>
      </c>
      <c r="AH34" s="78">
        <f ca="1">MIN(AH$10-SUM(AH$33:AH33),$D34)</f>
        <v>0.21620091324200919</v>
      </c>
      <c r="AI34" s="78">
        <f ca="1">MIN(AI$10-SUM(AI$33:AI33),$D34)</f>
        <v>0.21620091324200919</v>
      </c>
      <c r="AJ34" s="78">
        <f ca="1">MIN(AJ$10-SUM(AJ$33:AJ33),$D34)</f>
        <v>0.21620091324200919</v>
      </c>
      <c r="AK34" s="78">
        <f ca="1">MIN(AK$10-SUM(AK$33:AK33),$D34)</f>
        <v>0.21620091324200919</v>
      </c>
      <c r="AL34" s="78">
        <f ca="1">MIN(AL$10-SUM(AL$33:AL33),$D34)</f>
        <v>0.21620091324200919</v>
      </c>
      <c r="AM34" s="78">
        <f ca="1">MIN(AM$10-SUM(AM$33:AM33),$D34)</f>
        <v>0.21620091324200919</v>
      </c>
      <c r="AN34" s="78">
        <f ca="1">MIN(AN$10-SUM(AN$33:AN33),$D34)</f>
        <v>0.21620091324200919</v>
      </c>
      <c r="AO34" s="78">
        <f ca="1">MIN(AO$10-SUM(AO$33:AO33),$D34)</f>
        <v>0.21620091324200919</v>
      </c>
      <c r="AP34" s="78">
        <f ca="1">MIN(AP$10-SUM(AP$33:AP33),$D34)</f>
        <v>0.21620091324200919</v>
      </c>
      <c r="AQ34" s="78">
        <f ca="1">MIN(AQ$10-SUM(AQ$33:AQ33),$D34)</f>
        <v>0.21620091324200919</v>
      </c>
      <c r="AR34" s="79">
        <f ca="1">MIN(AR$10-SUM(AR$33:AR33),$D34)</f>
        <v>0.21620091324200919</v>
      </c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</row>
    <row r="35" spans="1:60" x14ac:dyDescent="0.25">
      <c r="A35" s="1">
        <f>'Grid Sizes, Locations, and GHGs'!K6</f>
        <v>7.5419999999999998</v>
      </c>
      <c r="B35" s="1"/>
      <c r="C35" s="61" t="str">
        <f>'Grid Sizes, Locations, and GHGs'!A6</f>
        <v>Onsite Usage Electric Assist Indirect</v>
      </c>
      <c r="D35" s="62">
        <f>'Grid Sizes, Locations, and GHGs'!H6</f>
        <v>0</v>
      </c>
      <c r="E35" s="62">
        <f>MIN(E$10-SUM(E$33:E34),$D35)</f>
        <v>0</v>
      </c>
      <c r="F35" s="62">
        <f ca="1">MIN(F$10-SUM(F$33:F34),$D35)</f>
        <v>0</v>
      </c>
      <c r="G35" s="62">
        <f ca="1">MIN(G$10-SUM(G$33:G34),$D35)</f>
        <v>0</v>
      </c>
      <c r="H35" s="62">
        <f ca="1">MIN(H$10-SUM(H$33:H34),$D35)</f>
        <v>0</v>
      </c>
      <c r="I35" s="62">
        <f ca="1">MIN(I$10-SUM(I$33:I34),$D35)</f>
        <v>0</v>
      </c>
      <c r="J35" s="62">
        <f ca="1">MIN(J$10-SUM(J$33:J34),$D35)</f>
        <v>0</v>
      </c>
      <c r="K35" s="62">
        <f ca="1">MIN(K$10-SUM(K$33:K34),$D35)</f>
        <v>0</v>
      </c>
      <c r="L35" s="62">
        <f ca="1">MIN(L$10-SUM(L$33:L34),$D35)</f>
        <v>0</v>
      </c>
      <c r="M35" s="62">
        <f ca="1">MIN(M$10-SUM(M$33:M34),$D35)</f>
        <v>0</v>
      </c>
      <c r="N35" s="62">
        <f ca="1">MIN(N$10-SUM(N$33:N34),$D35)</f>
        <v>0</v>
      </c>
      <c r="O35" s="62">
        <f ca="1">MIN(O$10-SUM(O$33:O34),$D35)</f>
        <v>0</v>
      </c>
      <c r="P35" s="62">
        <f ca="1">MIN(P$10-SUM(P$33:P34),$D35)</f>
        <v>0</v>
      </c>
      <c r="Q35" s="62">
        <f ca="1">MIN(Q$10-SUM(Q$33:Q34),$D35)</f>
        <v>0</v>
      </c>
      <c r="R35" s="62">
        <f ca="1">MIN(R$10-SUM(R$33:R34),$D35)</f>
        <v>0</v>
      </c>
      <c r="S35" s="62">
        <f ca="1">MIN(S$10-SUM(S$33:S34),$D35)</f>
        <v>0</v>
      </c>
      <c r="T35" s="62">
        <f ca="1">MIN(T$10-SUM(T$33:T34),$D35)</f>
        <v>0</v>
      </c>
      <c r="U35" s="62">
        <f ca="1">MIN(U$10-SUM(U$33:U34),$D35)</f>
        <v>0</v>
      </c>
      <c r="V35" s="62">
        <f ca="1">MIN(V$10-SUM(V$33:V34),$D35)</f>
        <v>0</v>
      </c>
      <c r="W35" s="62">
        <f ca="1">MIN(W$10-SUM(W$33:W34),$D35)</f>
        <v>0</v>
      </c>
      <c r="X35" s="62">
        <f ca="1">MIN(X$10-SUM(X$33:X34),$D35)</f>
        <v>0</v>
      </c>
      <c r="Y35" s="62">
        <f ca="1">MIN(Y$10-SUM(Y$33:Y34),$D35)</f>
        <v>0</v>
      </c>
      <c r="Z35" s="62">
        <f ca="1">MIN(Z$10-SUM(Z$33:Z34),$D35)</f>
        <v>0</v>
      </c>
      <c r="AA35" s="62">
        <f ca="1">MIN(AA$10-SUM(AA$33:AA34),$D35)</f>
        <v>0</v>
      </c>
      <c r="AB35" s="62">
        <f ca="1">MIN(AB$10-SUM(AB$33:AB34),$D35)</f>
        <v>0</v>
      </c>
      <c r="AC35" s="62">
        <f ca="1">MIN(AC$10-SUM(AC$33:AC34),$D35)</f>
        <v>0</v>
      </c>
      <c r="AD35" s="62">
        <f ca="1">MIN(AD$10-SUM(AD$33:AD34),$D35)</f>
        <v>0</v>
      </c>
      <c r="AE35" s="62">
        <f ca="1">MIN(AE$10-SUM(AE$33:AE34),$D35)</f>
        <v>0</v>
      </c>
      <c r="AF35" s="62">
        <f ca="1">MIN(AF$10-SUM(AF$33:AF34),$D35)</f>
        <v>0</v>
      </c>
      <c r="AG35" s="62">
        <f ca="1">MIN(AG$10-SUM(AG$33:AG34),$D35)</f>
        <v>0</v>
      </c>
      <c r="AH35" s="62">
        <f ca="1">MIN(AH$10-SUM(AH$33:AH34),$D35)</f>
        <v>0</v>
      </c>
      <c r="AI35" s="62">
        <f ca="1">MIN(AI$10-SUM(AI$33:AI34),$D35)</f>
        <v>0</v>
      </c>
      <c r="AJ35" s="62">
        <f ca="1">MIN(AJ$10-SUM(AJ$33:AJ34),$D35)</f>
        <v>0</v>
      </c>
      <c r="AK35" s="62">
        <f ca="1">MIN(AK$10-SUM(AK$33:AK34),$D35)</f>
        <v>0</v>
      </c>
      <c r="AL35" s="62">
        <f ca="1">MIN(AL$10-SUM(AL$33:AL34),$D35)</f>
        <v>0</v>
      </c>
      <c r="AM35" s="62">
        <f ca="1">MIN(AM$10-SUM(AM$33:AM34),$D35)</f>
        <v>0</v>
      </c>
      <c r="AN35" s="62">
        <f ca="1">MIN(AN$10-SUM(AN$33:AN34),$D35)</f>
        <v>0</v>
      </c>
      <c r="AO35" s="62">
        <f ca="1">MIN(AO$10-SUM(AO$33:AO34),$D35)</f>
        <v>0</v>
      </c>
      <c r="AP35" s="62">
        <f ca="1">MIN(AP$10-SUM(AP$33:AP34),$D35)</f>
        <v>0</v>
      </c>
      <c r="AQ35" s="62">
        <f ca="1">MIN(AQ$10-SUM(AQ$33:AQ34),$D35)</f>
        <v>0</v>
      </c>
      <c r="AR35" s="63">
        <f ca="1">MIN(AR$10-SUM(AR$33:AR34),$D35)</f>
        <v>0</v>
      </c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</row>
    <row r="36" spans="1:60" x14ac:dyDescent="0.25">
      <c r="A36" s="1">
        <f>'Grid Sizes, Locations, and GHGs'!K7</f>
        <v>2.1680999999999999</v>
      </c>
      <c r="B36" s="1"/>
      <c r="C36" s="61" t="str">
        <f>'Grid Sizes, Locations, and GHGs'!A7</f>
        <v>Onsite Usage Electric Assist Direct</v>
      </c>
      <c r="D36" s="62">
        <f>'Grid Sizes, Locations, and GHGs'!H7</f>
        <v>0</v>
      </c>
      <c r="E36" s="62">
        <f>MIN(E$10-SUM(E$33:E35),$D36)</f>
        <v>0</v>
      </c>
      <c r="F36" s="62">
        <f ca="1">MIN(F$10-SUM(F$33:F35),$D36)</f>
        <v>0</v>
      </c>
      <c r="G36" s="62">
        <f ca="1">MIN(G$10-SUM(G$33:G35),$D36)</f>
        <v>0</v>
      </c>
      <c r="H36" s="62">
        <f ca="1">MIN(H$10-SUM(H$33:H35),$D36)</f>
        <v>0</v>
      </c>
      <c r="I36" s="62">
        <f ca="1">MIN(I$10-SUM(I$33:I35),$D36)</f>
        <v>0</v>
      </c>
      <c r="J36" s="62">
        <f ca="1">MIN(J$10-SUM(J$33:J35),$D36)</f>
        <v>0</v>
      </c>
      <c r="K36" s="62">
        <f ca="1">MIN(K$10-SUM(K$33:K35),$D36)</f>
        <v>0</v>
      </c>
      <c r="L36" s="62">
        <f ca="1">MIN(L$10-SUM(L$33:L35),$D36)</f>
        <v>0</v>
      </c>
      <c r="M36" s="62">
        <f ca="1">MIN(M$10-SUM(M$33:M35),$D36)</f>
        <v>0</v>
      </c>
      <c r="N36" s="62">
        <f ca="1">MIN(N$10-SUM(N$33:N35),$D36)</f>
        <v>0</v>
      </c>
      <c r="O36" s="62">
        <f ca="1">MIN(O$10-SUM(O$33:O35),$D36)</f>
        <v>0</v>
      </c>
      <c r="P36" s="62">
        <f ca="1">MIN(P$10-SUM(P$33:P35),$D36)</f>
        <v>0</v>
      </c>
      <c r="Q36" s="62">
        <f ca="1">MIN(Q$10-SUM(Q$33:Q35),$D36)</f>
        <v>0</v>
      </c>
      <c r="R36" s="62">
        <f ca="1">MIN(R$10-SUM(R$33:R35),$D36)</f>
        <v>0</v>
      </c>
      <c r="S36" s="62">
        <f ca="1">MIN(S$10-SUM(S$33:S35),$D36)</f>
        <v>0</v>
      </c>
      <c r="T36" s="62">
        <f ca="1">MIN(T$10-SUM(T$33:T35),$D36)</f>
        <v>0</v>
      </c>
      <c r="U36" s="62">
        <f ca="1">MIN(U$10-SUM(U$33:U35),$D36)</f>
        <v>0</v>
      </c>
      <c r="V36" s="62">
        <f ca="1">MIN(V$10-SUM(V$33:V35),$D36)</f>
        <v>0</v>
      </c>
      <c r="W36" s="62">
        <f ca="1">MIN(W$10-SUM(W$33:W35),$D36)</f>
        <v>0</v>
      </c>
      <c r="X36" s="62">
        <f ca="1">MIN(X$10-SUM(X$33:X35),$D36)</f>
        <v>0</v>
      </c>
      <c r="Y36" s="62">
        <f ca="1">MIN(Y$10-SUM(Y$33:Y35),$D36)</f>
        <v>0</v>
      </c>
      <c r="Z36" s="62">
        <f ca="1">MIN(Z$10-SUM(Z$33:Z35),$D36)</f>
        <v>0</v>
      </c>
      <c r="AA36" s="62">
        <f ca="1">MIN(AA$10-SUM(AA$33:AA35),$D36)</f>
        <v>0</v>
      </c>
      <c r="AB36" s="62">
        <f ca="1">MIN(AB$10-SUM(AB$33:AB35),$D36)</f>
        <v>0</v>
      </c>
      <c r="AC36" s="62">
        <f ca="1">MIN(AC$10-SUM(AC$33:AC35),$D36)</f>
        <v>0</v>
      </c>
      <c r="AD36" s="62">
        <f ca="1">MIN(AD$10-SUM(AD$33:AD35),$D36)</f>
        <v>0</v>
      </c>
      <c r="AE36" s="62">
        <f ca="1">MIN(AE$10-SUM(AE$33:AE35),$D36)</f>
        <v>0</v>
      </c>
      <c r="AF36" s="62">
        <f ca="1">MIN(AF$10-SUM(AF$33:AF35),$D36)</f>
        <v>0</v>
      </c>
      <c r="AG36" s="62">
        <f ca="1">MIN(AG$10-SUM(AG$33:AG35),$D36)</f>
        <v>0</v>
      </c>
      <c r="AH36" s="62">
        <f ca="1">MIN(AH$10-SUM(AH$33:AH35),$D36)</f>
        <v>0</v>
      </c>
      <c r="AI36" s="62">
        <f ca="1">MIN(AI$10-SUM(AI$33:AI35),$D36)</f>
        <v>0</v>
      </c>
      <c r="AJ36" s="62">
        <f ca="1">MIN(AJ$10-SUM(AJ$33:AJ35),$D36)</f>
        <v>0</v>
      </c>
      <c r="AK36" s="62">
        <f ca="1">MIN(AK$10-SUM(AK$33:AK35),$D36)</f>
        <v>0</v>
      </c>
      <c r="AL36" s="62">
        <f ca="1">MIN(AL$10-SUM(AL$33:AL35),$D36)</f>
        <v>0</v>
      </c>
      <c r="AM36" s="62">
        <f ca="1">MIN(AM$10-SUM(AM$33:AM35),$D36)</f>
        <v>0</v>
      </c>
      <c r="AN36" s="62">
        <f ca="1">MIN(AN$10-SUM(AN$33:AN35),$D36)</f>
        <v>0</v>
      </c>
      <c r="AO36" s="62">
        <f ca="1">MIN(AO$10-SUM(AO$33:AO35),$D36)</f>
        <v>0</v>
      </c>
      <c r="AP36" s="62">
        <f ca="1">MIN(AP$10-SUM(AP$33:AP35),$D36)</f>
        <v>0</v>
      </c>
      <c r="AQ36" s="62">
        <f ca="1">MIN(AQ$10-SUM(AQ$33:AQ35),$D36)</f>
        <v>0</v>
      </c>
      <c r="AR36" s="63">
        <f ca="1">MIN(AR$10-SUM(AR$33:AR35),$D36)</f>
        <v>0</v>
      </c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</row>
    <row r="37" spans="1:60" x14ac:dyDescent="0.25">
      <c r="A37" s="1">
        <f>'Grid Sizes, Locations, and GHGs'!K8</f>
        <v>7.5419999999999998</v>
      </c>
      <c r="B37" s="1"/>
      <c r="C37" s="61" t="str">
        <f>'Grid Sizes, Locations, and GHGs'!A8</f>
        <v>Alberta</v>
      </c>
      <c r="D37" s="62">
        <f>'Grid Sizes, Locations, and GHGs'!H8</f>
        <v>1.4287000000000003</v>
      </c>
      <c r="E37" s="62">
        <f>MIN(E$10-SUM(E$33:E36),$D37)</f>
        <v>0.65797686453576865</v>
      </c>
      <c r="F37" s="62">
        <f ca="1">MIN(F$10-SUM(F$33:F36),$D37)</f>
        <v>1.4287000000000003</v>
      </c>
      <c r="G37" s="62">
        <f ca="1">MIN(G$10-SUM(G$33:G36),$D37)</f>
        <v>1.4287000000000003</v>
      </c>
      <c r="H37" s="62">
        <f ca="1">MIN(H$10-SUM(H$33:H36),$D37)</f>
        <v>1.4287000000000003</v>
      </c>
      <c r="I37" s="62">
        <f ca="1">MIN(I$10-SUM(I$33:I36),$D37)</f>
        <v>1.4287000000000003</v>
      </c>
      <c r="J37" s="62">
        <f ca="1">MIN(J$10-SUM(J$33:J36),$D37)</f>
        <v>1.4287000000000003</v>
      </c>
      <c r="K37" s="62">
        <f ca="1">MIN(K$10-SUM(K$33:K36),$D37)</f>
        <v>1.4287000000000003</v>
      </c>
      <c r="L37" s="62">
        <f ca="1">MIN(L$10-SUM(L$33:L36),$D37)</f>
        <v>1.4287000000000003</v>
      </c>
      <c r="M37" s="62">
        <f ca="1">MIN(M$10-SUM(M$33:M36),$D37)</f>
        <v>1.4287000000000003</v>
      </c>
      <c r="N37" s="62">
        <f ca="1">MIN(N$10-SUM(N$33:N36),$D37)</f>
        <v>1.4287000000000003</v>
      </c>
      <c r="O37" s="62">
        <f ca="1">MIN(O$10-SUM(O$33:O36),$D37)</f>
        <v>1.4287000000000003</v>
      </c>
      <c r="P37" s="62">
        <f ca="1">MIN(P$10-SUM(P$33:P36),$D37)</f>
        <v>1.4287000000000003</v>
      </c>
      <c r="Q37" s="62">
        <f ca="1">MIN(Q$10-SUM(Q$33:Q36),$D37)</f>
        <v>1.4287000000000003</v>
      </c>
      <c r="R37" s="62">
        <f ca="1">MIN(R$10-SUM(R$33:R36),$D37)</f>
        <v>1.4287000000000003</v>
      </c>
      <c r="S37" s="62">
        <f ca="1">MIN(S$10-SUM(S$33:S36),$D37)</f>
        <v>1.4287000000000003</v>
      </c>
      <c r="T37" s="62">
        <f ca="1">MIN(T$10-SUM(T$33:T36),$D37)</f>
        <v>1.4287000000000003</v>
      </c>
      <c r="U37" s="62">
        <f ca="1">MIN(U$10-SUM(U$33:U36),$D37)</f>
        <v>1.4287000000000003</v>
      </c>
      <c r="V37" s="62">
        <f ca="1">MIN(V$10-SUM(V$33:V36),$D37)</f>
        <v>1.4287000000000003</v>
      </c>
      <c r="W37" s="62">
        <f ca="1">MIN(W$10-SUM(W$33:W36),$D37)</f>
        <v>1.4287000000000003</v>
      </c>
      <c r="X37" s="62">
        <f ca="1">MIN(X$10-SUM(X$33:X36),$D37)</f>
        <v>1.4287000000000003</v>
      </c>
      <c r="Y37" s="62">
        <f ca="1">MIN(Y$10-SUM(Y$33:Y36),$D37)</f>
        <v>1.4287000000000003</v>
      </c>
      <c r="Z37" s="62">
        <f ca="1">MIN(Z$10-SUM(Z$33:Z36),$D37)</f>
        <v>1.4287000000000003</v>
      </c>
      <c r="AA37" s="62">
        <f ca="1">MIN(AA$10-SUM(AA$33:AA36),$D37)</f>
        <v>1.4287000000000003</v>
      </c>
      <c r="AB37" s="62">
        <f ca="1">MIN(AB$10-SUM(AB$33:AB36),$D37)</f>
        <v>1.4287000000000003</v>
      </c>
      <c r="AC37" s="62">
        <f ca="1">MIN(AC$10-SUM(AC$33:AC36),$D37)</f>
        <v>1.4287000000000003</v>
      </c>
      <c r="AD37" s="62">
        <f ca="1">MIN(AD$10-SUM(AD$33:AD36),$D37)</f>
        <v>1.4287000000000003</v>
      </c>
      <c r="AE37" s="62">
        <f ca="1">MIN(AE$10-SUM(AE$33:AE36),$D37)</f>
        <v>1.4287000000000003</v>
      </c>
      <c r="AF37" s="62">
        <f ca="1">MIN(AF$10-SUM(AF$33:AF36),$D37)</f>
        <v>1.4287000000000003</v>
      </c>
      <c r="AG37" s="62">
        <f ca="1">MIN(AG$10-SUM(AG$33:AG36),$D37)</f>
        <v>1.4287000000000003</v>
      </c>
      <c r="AH37" s="62">
        <f ca="1">MIN(AH$10-SUM(AH$33:AH36),$D37)</f>
        <v>1.4287000000000003</v>
      </c>
      <c r="AI37" s="62">
        <f ca="1">MIN(AI$10-SUM(AI$33:AI36),$D37)</f>
        <v>1.4287000000000003</v>
      </c>
      <c r="AJ37" s="62">
        <f ca="1">MIN(AJ$10-SUM(AJ$33:AJ36),$D37)</f>
        <v>1.4287000000000003</v>
      </c>
      <c r="AK37" s="62">
        <f ca="1">MIN(AK$10-SUM(AK$33:AK36),$D37)</f>
        <v>1.4287000000000003</v>
      </c>
      <c r="AL37" s="62">
        <f ca="1">MIN(AL$10-SUM(AL$33:AL36),$D37)</f>
        <v>1.4287000000000003</v>
      </c>
      <c r="AM37" s="62">
        <f ca="1">MIN(AM$10-SUM(AM$33:AM36),$D37)</f>
        <v>1.4287000000000003</v>
      </c>
      <c r="AN37" s="62">
        <f ca="1">MIN(AN$10-SUM(AN$33:AN36),$D37)</f>
        <v>1.4287000000000003</v>
      </c>
      <c r="AO37" s="62">
        <f ca="1">MIN(AO$10-SUM(AO$33:AO36),$D37)</f>
        <v>1.4287000000000003</v>
      </c>
      <c r="AP37" s="62">
        <f ca="1">MIN(AP$10-SUM(AP$33:AP36),$D37)</f>
        <v>1.4287000000000003</v>
      </c>
      <c r="AQ37" s="62">
        <f ca="1">MIN(AQ$10-SUM(AQ$33:AQ36),$D37)</f>
        <v>1.4287000000000003</v>
      </c>
      <c r="AR37" s="63">
        <f ca="1">MIN(AR$10-SUM(AR$33:AR36),$D37)</f>
        <v>1.4287000000000003</v>
      </c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</row>
    <row r="38" spans="1:60" x14ac:dyDescent="0.25">
      <c r="A38" s="1">
        <f>'Grid Sizes, Locations, and GHGs'!K9</f>
        <v>4.71</v>
      </c>
      <c r="B38" s="1"/>
      <c r="C38" s="61" t="str">
        <f>'Grid Sizes, Locations, and GHGs'!A9</f>
        <v>USA (excluding California)</v>
      </c>
      <c r="D38" s="62">
        <f>'Grid Sizes, Locations, and GHGs'!H9</f>
        <v>66.249000000000009</v>
      </c>
      <c r="E38" s="62">
        <f>MIN(E$10-SUM(E$33:E37),$D38)</f>
        <v>0</v>
      </c>
      <c r="F38" s="62">
        <f ca="1">MIN(F$10-SUM(F$33:F37),$D38)</f>
        <v>8.4181952507855096E-2</v>
      </c>
      <c r="G38" s="62">
        <f ca="1">MIN(G$10-SUM(G$33:G37),$D38)</f>
        <v>0.92037072248052532</v>
      </c>
      <c r="H38" s="62">
        <f ca="1">MIN(H$10-SUM(H$33:H37),$D38)</f>
        <v>1.6755742302786363</v>
      </c>
      <c r="I38" s="62">
        <f ca="1">MIN(I$10-SUM(I$33:I37),$D38)</f>
        <v>2.4356776851378261</v>
      </c>
      <c r="J38" s="62">
        <f ca="1">MIN(J$10-SUM(J$33:J37),$D38)</f>
        <v>3.1905183370845882</v>
      </c>
      <c r="K38" s="62">
        <f ca="1">MIN(K$10-SUM(K$33:K37),$D38)</f>
        <v>3.9414852600037205</v>
      </c>
      <c r="L38" s="62">
        <f ca="1">MIN(L$10-SUM(L$33:L37),$D38)</f>
        <v>4.6885761679903482</v>
      </c>
      <c r="M38" s="62">
        <f ca="1">MIN(M$10-SUM(M$33:M37),$D38)</f>
        <v>5.4319543942372839</v>
      </c>
      <c r="N38" s="62">
        <f ca="1">MIN(N$10-SUM(N$33:N37),$D38)</f>
        <v>6.1717616388803158</v>
      </c>
      <c r="O38" s="62">
        <f ca="1">MIN(O$10-SUM(O$33:O37),$D38)</f>
        <v>6.9081405305987218</v>
      </c>
      <c r="P38" s="62">
        <f ca="1">MIN(P$10-SUM(P$33:P37),$D38)</f>
        <v>7.641231949127512</v>
      </c>
      <c r="Q38" s="62">
        <f ca="1">MIN(Q$10-SUM(Q$33:Q37),$D38)</f>
        <v>8.3711753832937728</v>
      </c>
      <c r="R38" s="62">
        <f ca="1">MIN(R$10-SUM(R$33:R37),$D38)</f>
        <v>9.0981089234212895</v>
      </c>
      <c r="S38" s="62">
        <f ca="1">MIN(S$10-SUM(S$33:S37),$D38)</f>
        <v>9.8221692972387711</v>
      </c>
      <c r="T38" s="62">
        <f ca="1">MIN(T$10-SUM(T$33:T37),$D38)</f>
        <v>10.543491900085266</v>
      </c>
      <c r="U38" s="62">
        <f ca="1">MIN(U$10-SUM(U$33:U37),$D38)</f>
        <v>11.262210825340436</v>
      </c>
      <c r="V38" s="62">
        <f ca="1">MIN(V$10-SUM(V$33:V37),$D38)</f>
        <v>11.978458894375029</v>
      </c>
      <c r="W38" s="62">
        <f ca="1">MIN(W$10-SUM(W$33:W37),$D38)</f>
        <v>12.692367686114698</v>
      </c>
      <c r="X38" s="62">
        <f ca="1">MIN(X$10-SUM(X$33:X37),$D38)</f>
        <v>13.404067566214103</v>
      </c>
      <c r="Y38" s="62">
        <f ca="1">MIN(Y$10-SUM(Y$33:Y37),$D38)</f>
        <v>13.239509938071929</v>
      </c>
      <c r="Z38" s="62">
        <f ca="1">MIN(Z$10-SUM(Z$33:Z37),$D38)</f>
        <v>13.211574533946559</v>
      </c>
      <c r="AA38" s="62">
        <f ca="1">MIN(AA$10-SUM(AA$33:AA37),$D38)</f>
        <v>13.19746677429711</v>
      </c>
      <c r="AB38" s="62">
        <f ca="1">MIN(AB$10-SUM(AB$33:AB37),$D38)</f>
        <v>13.273844644154591</v>
      </c>
      <c r="AC38" s="62">
        <f ca="1">MIN(AC$10-SUM(AC$33:AC37),$D38)</f>
        <v>13.344219359999164</v>
      </c>
      <c r="AD38" s="62">
        <f ca="1">MIN(AD$10-SUM(AD$33:AD37),$D38)</f>
        <v>13.430391254364114</v>
      </c>
      <c r="AE38" s="62">
        <f ca="1">MIN(AE$10-SUM(AE$33:AE37),$D38)</f>
        <v>13.52821593365346</v>
      </c>
      <c r="AF38" s="62">
        <f ca="1">MIN(AF$10-SUM(AF$33:AF37),$D38)</f>
        <v>13.638087005343946</v>
      </c>
      <c r="AG38" s="62">
        <f ca="1">MIN(AG$10-SUM(AG$33:AG37),$D38)</f>
        <v>13.759689398751997</v>
      </c>
      <c r="AH38" s="62">
        <f ca="1">MIN(AH$10-SUM(AH$33:AH37),$D38)</f>
        <v>13.892820388051806</v>
      </c>
      <c r="AI38" s="62">
        <f ca="1">MIN(AI$10-SUM(AI$33:AI37),$D38)</f>
        <v>14.037267842303674</v>
      </c>
      <c r="AJ38" s="62">
        <f ca="1">MIN(AJ$10-SUM(AJ$33:AJ37),$D38)</f>
        <v>14.192827493241467</v>
      </c>
      <c r="AK38" s="62">
        <f ca="1">MIN(AK$10-SUM(AK$33:AK37),$D38)</f>
        <v>14.359300402710394</v>
      </c>
      <c r="AL38" s="62">
        <f ca="1">MIN(AL$10-SUM(AL$33:AL37),$D38)</f>
        <v>14.536493185013748</v>
      </c>
      <c r="AM38" s="62">
        <f ca="1">MIN(AM$10-SUM(AM$33:AM37),$D38)</f>
        <v>14.724217855815317</v>
      </c>
      <c r="AN38" s="62">
        <f ca="1">MIN(AN$10-SUM(AN$33:AN37),$D38)</f>
        <v>14.922291733796458</v>
      </c>
      <c r="AO38" s="62">
        <f ca="1">MIN(AO$10-SUM(AO$33:AO37),$D38)</f>
        <v>15.130537337746956</v>
      </c>
      <c r="AP38" s="62">
        <f ca="1">MIN(AP$10-SUM(AP$33:AP37),$D38)</f>
        <v>15.348782286661871</v>
      </c>
      <c r="AQ38" s="62">
        <f ca="1">MIN(AQ$10-SUM(AQ$33:AQ37),$D38)</f>
        <v>15.57685920180178</v>
      </c>
      <c r="AR38" s="63">
        <f ca="1">MIN(AR$10-SUM(AR$33:AR37),$D38)</f>
        <v>15.814605610808544</v>
      </c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</row>
    <row r="39" spans="1:60" x14ac:dyDescent="0.25">
      <c r="A39" s="1">
        <f>'Grid Sizes, Locations, and GHGs'!K10</f>
        <v>2.8</v>
      </c>
      <c r="B39" s="1"/>
      <c r="C39" s="61" t="str">
        <f>'Grid Sizes, Locations, and GHGs'!A10</f>
        <v>California</v>
      </c>
      <c r="D39" s="62">
        <f>'Grid Sizes, Locations, and GHGs'!H10</f>
        <v>4.0341000000000005</v>
      </c>
      <c r="E39" s="62">
        <f>MIN(E$10-SUM(E$33:E38),$D39)</f>
        <v>0</v>
      </c>
      <c r="F39" s="62">
        <f ca="1">MIN(F$10-SUM(F$33:F38),$D39)</f>
        <v>0</v>
      </c>
      <c r="G39" s="62">
        <f ca="1">MIN(G$10-SUM(G$33:G38),$D39)</f>
        <v>0</v>
      </c>
      <c r="H39" s="62">
        <f ca="1">MIN(H$10-SUM(H$33:H38),$D39)</f>
        <v>0</v>
      </c>
      <c r="I39" s="62">
        <f ca="1">MIN(I$10-SUM(I$33:I38),$D39)</f>
        <v>0</v>
      </c>
      <c r="J39" s="62">
        <f ca="1">MIN(J$10-SUM(J$33:J38),$D39)</f>
        <v>0</v>
      </c>
      <c r="K39" s="62">
        <f ca="1">MIN(K$10-SUM(K$33:K38),$D39)</f>
        <v>0</v>
      </c>
      <c r="L39" s="62">
        <f ca="1">MIN(L$10-SUM(L$33:L38),$D39)</f>
        <v>-8.8817841970012523E-16</v>
      </c>
      <c r="M39" s="62">
        <f ca="1">MIN(M$10-SUM(M$33:M38),$D39)</f>
        <v>0</v>
      </c>
      <c r="N39" s="62">
        <f ca="1">MIN(N$10-SUM(N$33:N38),$D39)</f>
        <v>-8.8817841970012523E-16</v>
      </c>
      <c r="O39" s="62">
        <f ca="1">MIN(O$10-SUM(O$33:O38),$D39)</f>
        <v>0</v>
      </c>
      <c r="P39" s="62">
        <f ca="1">MIN(P$10-SUM(P$33:P38),$D39)</f>
        <v>0</v>
      </c>
      <c r="Q39" s="62">
        <f ca="1">MIN(Q$10-SUM(Q$33:Q38),$D39)</f>
        <v>0</v>
      </c>
      <c r="R39" s="62">
        <f ca="1">MIN(R$10-SUM(R$33:R38),$D39)</f>
        <v>0</v>
      </c>
      <c r="S39" s="62">
        <f ca="1">MIN(S$10-SUM(S$33:S38),$D39)</f>
        <v>0</v>
      </c>
      <c r="T39" s="62">
        <f ca="1">MIN(T$10-SUM(T$33:T38),$D39)</f>
        <v>0</v>
      </c>
      <c r="U39" s="62">
        <f ca="1">MIN(U$10-SUM(U$33:U38),$D39)</f>
        <v>0</v>
      </c>
      <c r="V39" s="62">
        <f ca="1">MIN(V$10-SUM(V$33:V38),$D39)</f>
        <v>0</v>
      </c>
      <c r="W39" s="62">
        <f ca="1">MIN(W$10-SUM(W$33:W38),$D39)</f>
        <v>0</v>
      </c>
      <c r="X39" s="62">
        <f ca="1">MIN(X$10-SUM(X$33:X38),$D39)</f>
        <v>0</v>
      </c>
      <c r="Y39" s="62">
        <f ca="1">MIN(Y$10-SUM(Y$33:Y38),$D39)</f>
        <v>0</v>
      </c>
      <c r="Z39" s="62">
        <f ca="1">MIN(Z$10-SUM(Z$33:Z38),$D39)</f>
        <v>0</v>
      </c>
      <c r="AA39" s="62">
        <f ca="1">MIN(AA$10-SUM(AA$33:AA38),$D39)</f>
        <v>0</v>
      </c>
      <c r="AB39" s="62">
        <f ca="1">MIN(AB$10-SUM(AB$33:AB38),$D39)</f>
        <v>0</v>
      </c>
      <c r="AC39" s="62">
        <f ca="1">MIN(AC$10-SUM(AC$33:AC38),$D39)</f>
        <v>0</v>
      </c>
      <c r="AD39" s="62">
        <f ca="1">MIN(AD$10-SUM(AD$33:AD38),$D39)</f>
        <v>0</v>
      </c>
      <c r="AE39" s="62">
        <f ca="1">MIN(AE$10-SUM(AE$33:AE38),$D39)</f>
        <v>0</v>
      </c>
      <c r="AF39" s="62">
        <f ca="1">MIN(AF$10-SUM(AF$33:AF38),$D39)</f>
        <v>0</v>
      </c>
      <c r="AG39" s="62">
        <f ca="1">MIN(AG$10-SUM(AG$33:AG38),$D39)</f>
        <v>0</v>
      </c>
      <c r="AH39" s="62">
        <f ca="1">MIN(AH$10-SUM(AH$33:AH38),$D39)</f>
        <v>0</v>
      </c>
      <c r="AI39" s="62">
        <f ca="1">MIN(AI$10-SUM(AI$33:AI38),$D39)</f>
        <v>0</v>
      </c>
      <c r="AJ39" s="62">
        <f ca="1">MIN(AJ$10-SUM(AJ$33:AJ38),$D39)</f>
        <v>0</v>
      </c>
      <c r="AK39" s="62">
        <f ca="1">MIN(AK$10-SUM(AK$33:AK38),$D39)</f>
        <v>0</v>
      </c>
      <c r="AL39" s="62">
        <f ca="1">MIN(AL$10-SUM(AL$33:AL38),$D39)</f>
        <v>0</v>
      </c>
      <c r="AM39" s="62">
        <f ca="1">MIN(AM$10-SUM(AM$33:AM38),$D39)</f>
        <v>0</v>
      </c>
      <c r="AN39" s="62">
        <f ca="1">MIN(AN$10-SUM(AN$33:AN38),$D39)</f>
        <v>0</v>
      </c>
      <c r="AO39" s="62">
        <f ca="1">MIN(AO$10-SUM(AO$33:AO38),$D39)</f>
        <v>0</v>
      </c>
      <c r="AP39" s="62">
        <f ca="1">MIN(AP$10-SUM(AP$33:AP38),$D39)</f>
        <v>0</v>
      </c>
      <c r="AQ39" s="62">
        <f ca="1">MIN(AQ$10-SUM(AQ$33:AQ38),$D39)</f>
        <v>0</v>
      </c>
      <c r="AR39" s="63">
        <f ca="1">MIN(AR$10-SUM(AR$33:AR38),$D39)</f>
        <v>0</v>
      </c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</row>
    <row r="40" spans="1:60" x14ac:dyDescent="0.25">
      <c r="A40" s="1">
        <f>'Grid Sizes, Locations, and GHGs'!K11</f>
        <v>0.3</v>
      </c>
      <c r="B40" s="1"/>
      <c r="C40" s="61" t="str">
        <f>'Grid Sizes, Locations, and GHGs'!A11</f>
        <v>Canada (excluding Alberta)</v>
      </c>
      <c r="D40" s="62">
        <f>'Grid Sizes, Locations, and GHGs'!H11</f>
        <v>9.3795000000000002</v>
      </c>
      <c r="E40" s="62">
        <f>MIN(E$10-SUM(E$33:E39),$D40)</f>
        <v>0</v>
      </c>
      <c r="F40" s="62">
        <f ca="1">MIN(F$10-SUM(F$33:F39),$D40)</f>
        <v>0</v>
      </c>
      <c r="G40" s="62">
        <f ca="1">MIN(G$10-SUM(G$33:G39),$D40)</f>
        <v>0</v>
      </c>
      <c r="H40" s="62">
        <f ca="1">MIN(H$10-SUM(H$33:H39),$D40)</f>
        <v>0</v>
      </c>
      <c r="I40" s="62">
        <f ca="1">MIN(I$10-SUM(I$33:I39),$D40)</f>
        <v>0</v>
      </c>
      <c r="J40" s="62">
        <f ca="1">MIN(J$10-SUM(J$33:J39),$D40)</f>
        <v>0</v>
      </c>
      <c r="K40" s="62">
        <f ca="1">MIN(K$10-SUM(K$33:K39),$D40)</f>
        <v>0</v>
      </c>
      <c r="L40" s="62">
        <f ca="1">MIN(L$10-SUM(L$33:L39),$D40)</f>
        <v>0</v>
      </c>
      <c r="M40" s="62">
        <f ca="1">MIN(M$10-SUM(M$33:M39),$D40)</f>
        <v>0</v>
      </c>
      <c r="N40" s="62">
        <f ca="1">MIN(N$10-SUM(N$33:N39),$D40)</f>
        <v>0</v>
      </c>
      <c r="O40" s="62">
        <f ca="1">MIN(O$10-SUM(O$33:O39),$D40)</f>
        <v>0</v>
      </c>
      <c r="P40" s="62">
        <f ca="1">MIN(P$10-SUM(P$33:P39),$D40)</f>
        <v>0</v>
      </c>
      <c r="Q40" s="62">
        <f ca="1">MIN(Q$10-SUM(Q$33:Q39),$D40)</f>
        <v>0</v>
      </c>
      <c r="R40" s="62">
        <f ca="1">MIN(R$10-SUM(R$33:R39),$D40)</f>
        <v>0</v>
      </c>
      <c r="S40" s="62">
        <f ca="1">MIN(S$10-SUM(S$33:S39),$D40)</f>
        <v>0</v>
      </c>
      <c r="T40" s="62">
        <f ca="1">MIN(T$10-SUM(T$33:T39),$D40)</f>
        <v>0</v>
      </c>
      <c r="U40" s="62">
        <f ca="1">MIN(U$10-SUM(U$33:U39),$D40)</f>
        <v>0</v>
      </c>
      <c r="V40" s="62">
        <f ca="1">MIN(V$10-SUM(V$33:V39),$D40)</f>
        <v>0</v>
      </c>
      <c r="W40" s="62">
        <f ca="1">MIN(W$10-SUM(W$33:W39),$D40)</f>
        <v>0</v>
      </c>
      <c r="X40" s="62">
        <f ca="1">MIN(X$10-SUM(X$33:X39),$D40)</f>
        <v>0</v>
      </c>
      <c r="Y40" s="62">
        <f ca="1">MIN(Y$10-SUM(Y$33:Y39),$D40)</f>
        <v>0</v>
      </c>
      <c r="Z40" s="62">
        <f ca="1">MIN(Z$10-SUM(Z$33:Z39),$D40)</f>
        <v>0</v>
      </c>
      <c r="AA40" s="62">
        <f ca="1">MIN(AA$10-SUM(AA$33:AA39),$D40)</f>
        <v>0</v>
      </c>
      <c r="AB40" s="62">
        <f ca="1">MIN(AB$10-SUM(AB$33:AB39),$D40)</f>
        <v>0</v>
      </c>
      <c r="AC40" s="62">
        <f ca="1">MIN(AC$10-SUM(AC$33:AC39),$D40)</f>
        <v>0</v>
      </c>
      <c r="AD40" s="62">
        <f ca="1">MIN(AD$10-SUM(AD$33:AD39),$D40)</f>
        <v>0</v>
      </c>
      <c r="AE40" s="62">
        <f ca="1">MIN(AE$10-SUM(AE$33:AE39),$D40)</f>
        <v>0</v>
      </c>
      <c r="AF40" s="62">
        <f ca="1">MIN(AF$10-SUM(AF$33:AF39),$D40)</f>
        <v>0</v>
      </c>
      <c r="AG40" s="62">
        <f ca="1">MIN(AG$10-SUM(AG$33:AG39),$D40)</f>
        <v>0</v>
      </c>
      <c r="AH40" s="62">
        <f ca="1">MIN(AH$10-SUM(AH$33:AH39),$D40)</f>
        <v>0</v>
      </c>
      <c r="AI40" s="62">
        <f ca="1">MIN(AI$10-SUM(AI$33:AI39),$D40)</f>
        <v>0</v>
      </c>
      <c r="AJ40" s="62">
        <f ca="1">MIN(AJ$10-SUM(AJ$33:AJ39),$D40)</f>
        <v>0</v>
      </c>
      <c r="AK40" s="62">
        <f ca="1">MIN(AK$10-SUM(AK$33:AK39),$D40)</f>
        <v>0</v>
      </c>
      <c r="AL40" s="62">
        <f ca="1">MIN(AL$10-SUM(AL$33:AL39),$D40)</f>
        <v>0</v>
      </c>
      <c r="AM40" s="62">
        <f ca="1">MIN(AM$10-SUM(AM$33:AM39),$D40)</f>
        <v>0</v>
      </c>
      <c r="AN40" s="62">
        <f ca="1">MIN(AN$10-SUM(AN$33:AN39),$D40)</f>
        <v>0</v>
      </c>
      <c r="AO40" s="62">
        <f ca="1">MIN(AO$10-SUM(AO$33:AO39),$D40)</f>
        <v>0</v>
      </c>
      <c r="AP40" s="62">
        <f ca="1">MIN(AP$10-SUM(AP$33:AP39),$D40)</f>
        <v>0</v>
      </c>
      <c r="AQ40" s="62">
        <f ca="1">MIN(AQ$10-SUM(AQ$33:AQ39),$D40)</f>
        <v>0</v>
      </c>
      <c r="AR40" s="63">
        <f ca="1">MIN(AR$10-SUM(AR$33:AR39),$D40)</f>
        <v>0</v>
      </c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</row>
    <row r="41" spans="1:60" x14ac:dyDescent="0.25">
      <c r="A41" s="1">
        <f>'Grid Sizes, Locations, and GHGs'!K12</f>
        <v>0</v>
      </c>
      <c r="B41" s="1"/>
      <c r="C41" s="61" t="str">
        <f>'Grid Sizes, Locations, and GHGs'!A12</f>
        <v>unused</v>
      </c>
      <c r="D41" s="62">
        <f>'Grid Sizes, Locations, and GHGs'!H12</f>
        <v>0</v>
      </c>
      <c r="E41" s="62">
        <f>MIN(E$10-SUM(E$33:E40),$D41)</f>
        <v>0</v>
      </c>
      <c r="F41" s="62">
        <f ca="1">MIN(F$10-SUM(F$33:F40),$D41)</f>
        <v>0</v>
      </c>
      <c r="G41" s="62">
        <f ca="1">MIN(G$10-SUM(G$33:G40),$D41)</f>
        <v>0</v>
      </c>
      <c r="H41" s="62">
        <f ca="1">MIN(H$10-SUM(H$33:H40),$D41)</f>
        <v>0</v>
      </c>
      <c r="I41" s="62">
        <f ca="1">MIN(I$10-SUM(I$33:I40),$D41)</f>
        <v>0</v>
      </c>
      <c r="J41" s="62">
        <f ca="1">MIN(J$10-SUM(J$33:J40),$D41)</f>
        <v>0</v>
      </c>
      <c r="K41" s="62">
        <f ca="1">MIN(K$10-SUM(K$33:K40),$D41)</f>
        <v>0</v>
      </c>
      <c r="L41" s="62">
        <f ca="1">MIN(L$10-SUM(L$33:L40),$D41)</f>
        <v>0</v>
      </c>
      <c r="M41" s="62">
        <f ca="1">MIN(M$10-SUM(M$33:M40),$D41)</f>
        <v>0</v>
      </c>
      <c r="N41" s="62">
        <f ca="1">MIN(N$10-SUM(N$33:N40),$D41)</f>
        <v>0</v>
      </c>
      <c r="O41" s="62">
        <f ca="1">MIN(O$10-SUM(O$33:O40),$D41)</f>
        <v>0</v>
      </c>
      <c r="P41" s="62">
        <f ca="1">MIN(P$10-SUM(P$33:P40),$D41)</f>
        <v>0</v>
      </c>
      <c r="Q41" s="62">
        <f ca="1">MIN(Q$10-SUM(Q$33:Q40),$D41)</f>
        <v>0</v>
      </c>
      <c r="R41" s="62">
        <f ca="1">MIN(R$10-SUM(R$33:R40),$D41)</f>
        <v>0</v>
      </c>
      <c r="S41" s="62">
        <f ca="1">MIN(S$10-SUM(S$33:S40),$D41)</f>
        <v>0</v>
      </c>
      <c r="T41" s="62">
        <f ca="1">MIN(T$10-SUM(T$33:T40),$D41)</f>
        <v>0</v>
      </c>
      <c r="U41" s="62">
        <f ca="1">MIN(U$10-SUM(U$33:U40),$D41)</f>
        <v>0</v>
      </c>
      <c r="V41" s="62">
        <f ca="1">MIN(V$10-SUM(V$33:V40),$D41)</f>
        <v>0</v>
      </c>
      <c r="W41" s="62">
        <f ca="1">MIN(W$10-SUM(W$33:W40),$D41)</f>
        <v>0</v>
      </c>
      <c r="X41" s="62">
        <f ca="1">MIN(X$10-SUM(X$33:X40),$D41)</f>
        <v>0</v>
      </c>
      <c r="Y41" s="62">
        <f ca="1">MIN(Y$10-SUM(Y$33:Y40),$D41)</f>
        <v>0</v>
      </c>
      <c r="Z41" s="62">
        <f ca="1">MIN(Z$10-SUM(Z$33:Z40),$D41)</f>
        <v>0</v>
      </c>
      <c r="AA41" s="62">
        <f ca="1">MIN(AA$10-SUM(AA$33:AA40),$D41)</f>
        <v>0</v>
      </c>
      <c r="AB41" s="62">
        <f ca="1">MIN(AB$10-SUM(AB$33:AB40),$D41)</f>
        <v>0</v>
      </c>
      <c r="AC41" s="62">
        <f ca="1">MIN(AC$10-SUM(AC$33:AC40),$D41)</f>
        <v>0</v>
      </c>
      <c r="AD41" s="62">
        <f ca="1">MIN(AD$10-SUM(AD$33:AD40),$D41)</f>
        <v>0</v>
      </c>
      <c r="AE41" s="62">
        <f ca="1">MIN(AE$10-SUM(AE$33:AE40),$D41)</f>
        <v>0</v>
      </c>
      <c r="AF41" s="62">
        <f ca="1">MIN(AF$10-SUM(AF$33:AF40),$D41)</f>
        <v>0</v>
      </c>
      <c r="AG41" s="62">
        <f ca="1">MIN(AG$10-SUM(AG$33:AG40),$D41)</f>
        <v>0</v>
      </c>
      <c r="AH41" s="62">
        <f ca="1">MIN(AH$10-SUM(AH$33:AH40),$D41)</f>
        <v>0</v>
      </c>
      <c r="AI41" s="62">
        <f ca="1">MIN(AI$10-SUM(AI$33:AI40),$D41)</f>
        <v>0</v>
      </c>
      <c r="AJ41" s="62">
        <f ca="1">MIN(AJ$10-SUM(AJ$33:AJ40),$D41)</f>
        <v>0</v>
      </c>
      <c r="AK41" s="62">
        <f ca="1">MIN(AK$10-SUM(AK$33:AK40),$D41)</f>
        <v>0</v>
      </c>
      <c r="AL41" s="62">
        <f ca="1">MIN(AL$10-SUM(AL$33:AL40),$D41)</f>
        <v>0</v>
      </c>
      <c r="AM41" s="62">
        <f ca="1">MIN(AM$10-SUM(AM$33:AM40),$D41)</f>
        <v>0</v>
      </c>
      <c r="AN41" s="62">
        <f ca="1">MIN(AN$10-SUM(AN$33:AN40),$D41)</f>
        <v>0</v>
      </c>
      <c r="AO41" s="62">
        <f ca="1">MIN(AO$10-SUM(AO$33:AO40),$D41)</f>
        <v>0</v>
      </c>
      <c r="AP41" s="62">
        <f ca="1">MIN(AP$10-SUM(AP$33:AP40),$D41)</f>
        <v>0</v>
      </c>
      <c r="AQ41" s="62">
        <f ca="1">MIN(AQ$10-SUM(AQ$33:AQ40),$D41)</f>
        <v>0</v>
      </c>
      <c r="AR41" s="63">
        <f ca="1">MIN(AR$10-SUM(AR$33:AR40),$D41)</f>
        <v>0</v>
      </c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</row>
    <row r="42" spans="1:60" x14ac:dyDescent="0.25">
      <c r="A42" s="1">
        <f>'Grid Sizes, Locations, and GHGs'!K13</f>
        <v>0</v>
      </c>
      <c r="B42" s="1"/>
      <c r="C42" s="61" t="str">
        <f>'Grid Sizes, Locations, and GHGs'!A13</f>
        <v>unused</v>
      </c>
      <c r="D42" s="62">
        <f>'Grid Sizes, Locations, and GHGs'!H13</f>
        <v>0</v>
      </c>
      <c r="E42" s="62">
        <f>MIN(E$10-SUM(E$33:E41),$D42)</f>
        <v>0</v>
      </c>
      <c r="F42" s="62">
        <f ca="1">MIN(F$10-SUM(F$33:F41),$D42)</f>
        <v>0</v>
      </c>
      <c r="G42" s="62">
        <f ca="1">MIN(G$10-SUM(G$33:G41),$D42)</f>
        <v>0</v>
      </c>
      <c r="H42" s="62">
        <f ca="1">MIN(H$10-SUM(H$33:H41),$D42)</f>
        <v>0</v>
      </c>
      <c r="I42" s="62">
        <f ca="1">MIN(I$10-SUM(I$33:I41),$D42)</f>
        <v>0</v>
      </c>
      <c r="J42" s="62">
        <f ca="1">MIN(J$10-SUM(J$33:J41),$D42)</f>
        <v>0</v>
      </c>
      <c r="K42" s="62">
        <f ca="1">MIN(K$10-SUM(K$33:K41),$D42)</f>
        <v>0</v>
      </c>
      <c r="L42" s="62">
        <f ca="1">MIN(L$10-SUM(L$33:L41),$D42)</f>
        <v>0</v>
      </c>
      <c r="M42" s="62">
        <f ca="1">MIN(M$10-SUM(M$33:M41),$D42)</f>
        <v>0</v>
      </c>
      <c r="N42" s="62">
        <f ca="1">MIN(N$10-SUM(N$33:N41),$D42)</f>
        <v>0</v>
      </c>
      <c r="O42" s="62">
        <f ca="1">MIN(O$10-SUM(O$33:O41),$D42)</f>
        <v>0</v>
      </c>
      <c r="P42" s="62">
        <f ca="1">MIN(P$10-SUM(P$33:P41),$D42)</f>
        <v>0</v>
      </c>
      <c r="Q42" s="62">
        <f ca="1">MIN(Q$10-SUM(Q$33:Q41),$D42)</f>
        <v>0</v>
      </c>
      <c r="R42" s="62">
        <f ca="1">MIN(R$10-SUM(R$33:R41),$D42)</f>
        <v>0</v>
      </c>
      <c r="S42" s="62">
        <f ca="1">MIN(S$10-SUM(S$33:S41),$D42)</f>
        <v>0</v>
      </c>
      <c r="T42" s="62">
        <f ca="1">MIN(T$10-SUM(T$33:T41),$D42)</f>
        <v>0</v>
      </c>
      <c r="U42" s="62">
        <f ca="1">MIN(U$10-SUM(U$33:U41),$D42)</f>
        <v>0</v>
      </c>
      <c r="V42" s="62">
        <f ca="1">MIN(V$10-SUM(V$33:V41),$D42)</f>
        <v>0</v>
      </c>
      <c r="W42" s="62">
        <f ca="1">MIN(W$10-SUM(W$33:W41),$D42)</f>
        <v>0</v>
      </c>
      <c r="X42" s="62">
        <f ca="1">MIN(X$10-SUM(X$33:X41),$D42)</f>
        <v>0</v>
      </c>
      <c r="Y42" s="62">
        <f ca="1">MIN(Y$10-SUM(Y$33:Y41),$D42)</f>
        <v>0</v>
      </c>
      <c r="Z42" s="62">
        <f ca="1">MIN(Z$10-SUM(Z$33:Z41),$D42)</f>
        <v>0</v>
      </c>
      <c r="AA42" s="62">
        <f ca="1">MIN(AA$10-SUM(AA$33:AA41),$D42)</f>
        <v>0</v>
      </c>
      <c r="AB42" s="62">
        <f ca="1">MIN(AB$10-SUM(AB$33:AB41),$D42)</f>
        <v>0</v>
      </c>
      <c r="AC42" s="62">
        <f ca="1">MIN(AC$10-SUM(AC$33:AC41),$D42)</f>
        <v>0</v>
      </c>
      <c r="AD42" s="62">
        <f ca="1">MIN(AD$10-SUM(AD$33:AD41),$D42)</f>
        <v>0</v>
      </c>
      <c r="AE42" s="62">
        <f ca="1">MIN(AE$10-SUM(AE$33:AE41),$D42)</f>
        <v>0</v>
      </c>
      <c r="AF42" s="62">
        <f ca="1">MIN(AF$10-SUM(AF$33:AF41),$D42)</f>
        <v>0</v>
      </c>
      <c r="AG42" s="62">
        <f ca="1">MIN(AG$10-SUM(AG$33:AG41),$D42)</f>
        <v>0</v>
      </c>
      <c r="AH42" s="62">
        <f ca="1">MIN(AH$10-SUM(AH$33:AH41),$D42)</f>
        <v>0</v>
      </c>
      <c r="AI42" s="62">
        <f ca="1">MIN(AI$10-SUM(AI$33:AI41),$D42)</f>
        <v>0</v>
      </c>
      <c r="AJ42" s="62">
        <f ca="1">MIN(AJ$10-SUM(AJ$33:AJ41),$D42)</f>
        <v>0</v>
      </c>
      <c r="AK42" s="62">
        <f ca="1">MIN(AK$10-SUM(AK$33:AK41),$D42)</f>
        <v>0</v>
      </c>
      <c r="AL42" s="62">
        <f ca="1">MIN(AL$10-SUM(AL$33:AL41),$D42)</f>
        <v>0</v>
      </c>
      <c r="AM42" s="62">
        <f ca="1">MIN(AM$10-SUM(AM$33:AM41),$D42)</f>
        <v>0</v>
      </c>
      <c r="AN42" s="62">
        <f ca="1">MIN(AN$10-SUM(AN$33:AN41),$D42)</f>
        <v>0</v>
      </c>
      <c r="AO42" s="62">
        <f ca="1">MIN(AO$10-SUM(AO$33:AO41),$D42)</f>
        <v>0</v>
      </c>
      <c r="AP42" s="62">
        <f ca="1">MIN(AP$10-SUM(AP$33:AP41),$D42)</f>
        <v>0</v>
      </c>
      <c r="AQ42" s="62">
        <f ca="1">MIN(AQ$10-SUM(AQ$33:AQ41),$D42)</f>
        <v>0</v>
      </c>
      <c r="AR42" s="63">
        <f ca="1">MIN(AR$10-SUM(AR$33:AR41),$D42)</f>
        <v>0</v>
      </c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</row>
    <row r="43" spans="1:60" x14ac:dyDescent="0.25">
      <c r="A43" s="1">
        <f>'Grid Sizes, Locations, and GHGs'!K14</f>
        <v>0</v>
      </c>
      <c r="B43" s="1"/>
      <c r="C43" s="72" t="str">
        <f>'Grid Sizes, Locations, and GHGs'!A14</f>
        <v>unused</v>
      </c>
      <c r="D43" s="73">
        <f>'Grid Sizes, Locations, and GHGs'!H14</f>
        <v>0</v>
      </c>
      <c r="E43" s="73">
        <f>MIN(E$10-SUM(E$33:E42),$D43)</f>
        <v>0</v>
      </c>
      <c r="F43" s="73">
        <f ca="1">MIN(F$10-SUM(F$33:F42),$D43)</f>
        <v>0</v>
      </c>
      <c r="G43" s="73">
        <f ca="1">MIN(G$10-SUM(G$33:G42),$D43)</f>
        <v>0</v>
      </c>
      <c r="H43" s="73">
        <f ca="1">MIN(H$10-SUM(H$33:H42),$D43)</f>
        <v>0</v>
      </c>
      <c r="I43" s="73">
        <f ca="1">MIN(I$10-SUM(I$33:I42),$D43)</f>
        <v>0</v>
      </c>
      <c r="J43" s="73">
        <f ca="1">MIN(J$10-SUM(J$33:J42),$D43)</f>
        <v>0</v>
      </c>
      <c r="K43" s="73">
        <f ca="1">MIN(K$10-SUM(K$33:K42),$D43)</f>
        <v>0</v>
      </c>
      <c r="L43" s="73">
        <f ca="1">MIN(L$10-SUM(L$33:L42),$D43)</f>
        <v>0</v>
      </c>
      <c r="M43" s="73">
        <f ca="1">MIN(M$10-SUM(M$33:M42),$D43)</f>
        <v>0</v>
      </c>
      <c r="N43" s="73">
        <f ca="1">MIN(N$10-SUM(N$33:N42),$D43)</f>
        <v>0</v>
      </c>
      <c r="O43" s="73">
        <f ca="1">MIN(O$10-SUM(O$33:O42),$D43)</f>
        <v>0</v>
      </c>
      <c r="P43" s="73">
        <f ca="1">MIN(P$10-SUM(P$33:P42),$D43)</f>
        <v>0</v>
      </c>
      <c r="Q43" s="73">
        <f ca="1">MIN(Q$10-SUM(Q$33:Q42),$D43)</f>
        <v>0</v>
      </c>
      <c r="R43" s="73">
        <f ca="1">MIN(R$10-SUM(R$33:R42),$D43)</f>
        <v>0</v>
      </c>
      <c r="S43" s="73">
        <f ca="1">MIN(S$10-SUM(S$33:S42),$D43)</f>
        <v>0</v>
      </c>
      <c r="T43" s="73">
        <f ca="1">MIN(T$10-SUM(T$33:T42),$D43)</f>
        <v>0</v>
      </c>
      <c r="U43" s="73">
        <f ca="1">MIN(U$10-SUM(U$33:U42),$D43)</f>
        <v>0</v>
      </c>
      <c r="V43" s="73">
        <f ca="1">MIN(V$10-SUM(V$33:V42),$D43)</f>
        <v>0</v>
      </c>
      <c r="W43" s="73">
        <f ca="1">MIN(W$10-SUM(W$33:W42),$D43)</f>
        <v>0</v>
      </c>
      <c r="X43" s="73">
        <f ca="1">MIN(X$10-SUM(X$33:X42),$D43)</f>
        <v>0</v>
      </c>
      <c r="Y43" s="73">
        <f ca="1">MIN(Y$10-SUM(Y$33:Y42),$D43)</f>
        <v>0</v>
      </c>
      <c r="Z43" s="73">
        <f ca="1">MIN(Z$10-SUM(Z$33:Z42),$D43)</f>
        <v>0</v>
      </c>
      <c r="AA43" s="73">
        <f ca="1">MIN(AA$10-SUM(AA$33:AA42),$D43)</f>
        <v>0</v>
      </c>
      <c r="AB43" s="73">
        <f ca="1">MIN(AB$10-SUM(AB$33:AB42),$D43)</f>
        <v>0</v>
      </c>
      <c r="AC43" s="73">
        <f ca="1">MIN(AC$10-SUM(AC$33:AC42),$D43)</f>
        <v>0</v>
      </c>
      <c r="AD43" s="73">
        <f ca="1">MIN(AD$10-SUM(AD$33:AD42),$D43)</f>
        <v>0</v>
      </c>
      <c r="AE43" s="73">
        <f ca="1">MIN(AE$10-SUM(AE$33:AE42),$D43)</f>
        <v>0</v>
      </c>
      <c r="AF43" s="73">
        <f ca="1">MIN(AF$10-SUM(AF$33:AF42),$D43)</f>
        <v>0</v>
      </c>
      <c r="AG43" s="73">
        <f ca="1">MIN(AG$10-SUM(AG$33:AG42),$D43)</f>
        <v>0</v>
      </c>
      <c r="AH43" s="73">
        <f ca="1">MIN(AH$10-SUM(AH$33:AH42),$D43)</f>
        <v>0</v>
      </c>
      <c r="AI43" s="73">
        <f ca="1">MIN(AI$10-SUM(AI$33:AI42),$D43)</f>
        <v>0</v>
      </c>
      <c r="AJ43" s="73">
        <f ca="1">MIN(AJ$10-SUM(AJ$33:AJ42),$D43)</f>
        <v>0</v>
      </c>
      <c r="AK43" s="73">
        <f ca="1">MIN(AK$10-SUM(AK$33:AK42),$D43)</f>
        <v>0</v>
      </c>
      <c r="AL43" s="73">
        <f ca="1">MIN(AL$10-SUM(AL$33:AL42),$D43)</f>
        <v>0</v>
      </c>
      <c r="AM43" s="73">
        <f ca="1">MIN(AM$10-SUM(AM$33:AM42),$D43)</f>
        <v>0</v>
      </c>
      <c r="AN43" s="73">
        <f ca="1">MIN(AN$10-SUM(AN$33:AN42),$D43)</f>
        <v>0</v>
      </c>
      <c r="AO43" s="73">
        <f ca="1">MIN(AO$10-SUM(AO$33:AO42),$D43)</f>
        <v>0</v>
      </c>
      <c r="AP43" s="73">
        <f ca="1">MIN(AP$10-SUM(AP$33:AP42),$D43)</f>
        <v>0</v>
      </c>
      <c r="AQ43" s="73">
        <f ca="1">MIN(AQ$10-SUM(AQ$33:AQ42),$D43)</f>
        <v>0</v>
      </c>
      <c r="AR43" s="74">
        <f ca="1">MIN(AR$10-SUM(AR$33:AR42),$D43)</f>
        <v>0</v>
      </c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</row>
    <row r="44" spans="1:60" x14ac:dyDescent="0.25">
      <c r="A44" s="1"/>
      <c r="B44" s="1"/>
      <c r="C44" s="61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3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</row>
    <row r="45" spans="1:60" ht="18.75" x14ac:dyDescent="0.3">
      <c r="C45" s="64" t="s">
        <v>142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6"/>
    </row>
    <row r="46" spans="1:60" ht="26.25" customHeight="1" x14ac:dyDescent="0.25">
      <c r="A46" s="60" t="s">
        <v>91</v>
      </c>
      <c r="B46" s="60"/>
      <c r="C46" s="59" t="s">
        <v>136</v>
      </c>
      <c r="D46" s="60" t="s">
        <v>139</v>
      </c>
      <c r="E46" s="60" t="s">
        <v>139</v>
      </c>
      <c r="F46" s="60" t="s">
        <v>139</v>
      </c>
      <c r="G46" s="60" t="s">
        <v>139</v>
      </c>
      <c r="H46" s="60" t="s">
        <v>139</v>
      </c>
      <c r="I46" s="60" t="s">
        <v>139</v>
      </c>
      <c r="J46" s="60" t="s">
        <v>139</v>
      </c>
      <c r="K46" s="60" t="s">
        <v>139</v>
      </c>
      <c r="L46" s="60" t="s">
        <v>139</v>
      </c>
      <c r="M46" s="60" t="s">
        <v>139</v>
      </c>
      <c r="N46" s="60" t="s">
        <v>139</v>
      </c>
      <c r="O46" s="60" t="s">
        <v>139</v>
      </c>
      <c r="P46" s="60" t="s">
        <v>139</v>
      </c>
      <c r="Q46" s="60" t="s">
        <v>139</v>
      </c>
      <c r="R46" s="60" t="s">
        <v>139</v>
      </c>
      <c r="S46" s="60" t="s">
        <v>139</v>
      </c>
      <c r="T46" s="60" t="s">
        <v>139</v>
      </c>
      <c r="U46" s="60" t="s">
        <v>139</v>
      </c>
      <c r="V46" s="60" t="s">
        <v>139</v>
      </c>
      <c r="W46" s="60" t="s">
        <v>139</v>
      </c>
      <c r="X46" s="60" t="s">
        <v>139</v>
      </c>
      <c r="Y46" s="60" t="s">
        <v>139</v>
      </c>
      <c r="Z46" s="60" t="s">
        <v>139</v>
      </c>
      <c r="AA46" s="60" t="s">
        <v>139</v>
      </c>
      <c r="AB46" s="60" t="s">
        <v>139</v>
      </c>
      <c r="AC46" s="60" t="s">
        <v>139</v>
      </c>
      <c r="AD46" s="60" t="s">
        <v>139</v>
      </c>
      <c r="AE46" s="60" t="s">
        <v>139</v>
      </c>
      <c r="AF46" s="60" t="s">
        <v>139</v>
      </c>
      <c r="AG46" s="60" t="s">
        <v>139</v>
      </c>
      <c r="AH46" s="60" t="s">
        <v>139</v>
      </c>
      <c r="AI46" s="60" t="s">
        <v>139</v>
      </c>
      <c r="AJ46" s="60" t="s">
        <v>139</v>
      </c>
      <c r="AK46" s="60" t="s">
        <v>139</v>
      </c>
      <c r="AL46" s="60" t="s">
        <v>139</v>
      </c>
      <c r="AM46" s="60" t="s">
        <v>139</v>
      </c>
      <c r="AN46" s="60" t="s">
        <v>139</v>
      </c>
      <c r="AO46" s="60" t="s">
        <v>139</v>
      </c>
      <c r="AP46" s="60" t="s">
        <v>139</v>
      </c>
      <c r="AQ46" s="60" t="s">
        <v>139</v>
      </c>
      <c r="AR46" s="85" t="s">
        <v>139</v>
      </c>
    </row>
    <row r="47" spans="1:60" x14ac:dyDescent="0.25">
      <c r="A47" s="77">
        <f>'Grid Sizes, Locations, and GHGs'!D5</f>
        <v>0</v>
      </c>
      <c r="B47" s="77"/>
      <c r="C47" s="76" t="str">
        <f>'Grid Sizes, Locations, and GHGs'!A5</f>
        <v>Onsite Usage Via Cogen</v>
      </c>
      <c r="D47" s="77">
        <v>0</v>
      </c>
      <c r="E47" s="77">
        <v>0</v>
      </c>
      <c r="F47" s="78">
        <f ca="1">E47+E60-IF(F$2-1&gt;='Dashboard and Input Variables'!$B$34,OFFSET('Cumulative 40yr Model'!F60,0,-'Dashboard and Input Variables'!$B$34,1,1),0)</f>
        <v>0.21620091324200919</v>
      </c>
      <c r="G47" s="78">
        <f ca="1">F47+F60-IF(G$2-1&gt;='Dashboard and Input Variables'!$B$34,OFFSET('Cumulative 40yr Model'!G60,0,-'Dashboard and Input Variables'!$B$34,1,1),0)</f>
        <v>0.21620091324200919</v>
      </c>
      <c r="H47" s="78">
        <f ca="1">G47+G60-IF(H$2-1&gt;='Dashboard and Input Variables'!$B$34,OFFSET('Cumulative 40yr Model'!H60,0,-'Dashboard and Input Variables'!$B$34,1,1),0)</f>
        <v>0.21620091324200919</v>
      </c>
      <c r="I47" s="78">
        <f ca="1">H47+H60-IF(I$2-1&gt;='Dashboard and Input Variables'!$B$34,OFFSET('Cumulative 40yr Model'!I60,0,-'Dashboard and Input Variables'!$B$34,1,1),0)</f>
        <v>0.21620091324200919</v>
      </c>
      <c r="J47" s="78">
        <f ca="1">I47+I60-IF(J$2-1&gt;='Dashboard and Input Variables'!$B$34,OFFSET('Cumulative 40yr Model'!J60,0,-'Dashboard and Input Variables'!$B$34,1,1),0)</f>
        <v>0.21620091324200919</v>
      </c>
      <c r="K47" s="78">
        <f ca="1">J47+J60-IF(K$2-1&gt;='Dashboard and Input Variables'!$B$34,OFFSET('Cumulative 40yr Model'!K60,0,-'Dashboard and Input Variables'!$B$34,1,1),0)</f>
        <v>0.21620091324200919</v>
      </c>
      <c r="L47" s="78">
        <f ca="1">K47+K60-IF(L$2-1&gt;='Dashboard and Input Variables'!$B$34,OFFSET('Cumulative 40yr Model'!L60,0,-'Dashboard and Input Variables'!$B$34,1,1),0)</f>
        <v>0.21620091324200919</v>
      </c>
      <c r="M47" s="78">
        <f ca="1">L47+L60-IF(M$2-1&gt;='Dashboard and Input Variables'!$B$34,OFFSET('Cumulative 40yr Model'!M60,0,-'Dashboard and Input Variables'!$B$34,1,1),0)</f>
        <v>0.21620091324200919</v>
      </c>
      <c r="N47" s="78">
        <f ca="1">M47+M60-IF(N$2-1&gt;='Dashboard and Input Variables'!$B$34,OFFSET('Cumulative 40yr Model'!N60,0,-'Dashboard and Input Variables'!$B$34,1,1),0)</f>
        <v>0.21620091324200919</v>
      </c>
      <c r="O47" s="78">
        <f ca="1">N47+N60-IF(O$2-1&gt;='Dashboard and Input Variables'!$B$34,OFFSET('Cumulative 40yr Model'!O60,0,-'Dashboard and Input Variables'!$B$34,1,1),0)</f>
        <v>0.21620091324200919</v>
      </c>
      <c r="P47" s="78">
        <f ca="1">O47+O60-IF(P$2-1&gt;='Dashboard and Input Variables'!$B$34,OFFSET('Cumulative 40yr Model'!P60,0,-'Dashboard and Input Variables'!$B$34,1,1),0)</f>
        <v>0.21620091324200919</v>
      </c>
      <c r="Q47" s="78">
        <f ca="1">P47+P60-IF(Q$2-1&gt;='Dashboard and Input Variables'!$B$34,OFFSET('Cumulative 40yr Model'!Q60,0,-'Dashboard and Input Variables'!$B$34,1,1),0)</f>
        <v>0.21620091324200919</v>
      </c>
      <c r="R47" s="78">
        <f ca="1">Q47+Q60-IF(R$2-1&gt;='Dashboard and Input Variables'!$B$34,OFFSET('Cumulative 40yr Model'!R60,0,-'Dashboard and Input Variables'!$B$34,1,1),0)</f>
        <v>0.21620091324200919</v>
      </c>
      <c r="S47" s="78">
        <f ca="1">R47+R60-IF(S$2-1&gt;='Dashboard and Input Variables'!$B$34,OFFSET('Cumulative 40yr Model'!S60,0,-'Dashboard and Input Variables'!$B$34,1,1),0)</f>
        <v>0.21620091324200919</v>
      </c>
      <c r="T47" s="78">
        <f ca="1">S47+S60-IF(T$2-1&gt;='Dashboard and Input Variables'!$B$34,OFFSET('Cumulative 40yr Model'!T60,0,-'Dashboard and Input Variables'!$B$34,1,1),0)</f>
        <v>0.21620091324200919</v>
      </c>
      <c r="U47" s="78">
        <f ca="1">T47+T60-IF(U$2-1&gt;='Dashboard and Input Variables'!$B$34,OFFSET('Cumulative 40yr Model'!U60,0,-'Dashboard and Input Variables'!$B$34,1,1),0)</f>
        <v>0.21620091324200919</v>
      </c>
      <c r="V47" s="78">
        <f ca="1">U47+U60-IF(V$2-1&gt;='Dashboard and Input Variables'!$B$34,OFFSET('Cumulative 40yr Model'!V60,0,-'Dashboard and Input Variables'!$B$34,1,1),0)</f>
        <v>0.21620091324200919</v>
      </c>
      <c r="W47" s="78">
        <f ca="1">V47+V60-IF(W$2-1&gt;='Dashboard and Input Variables'!$B$34,OFFSET('Cumulative 40yr Model'!W60,0,-'Dashboard and Input Variables'!$B$34,1,1),0)</f>
        <v>0.21620091324200919</v>
      </c>
      <c r="X47" s="78">
        <f ca="1">W47+W60-IF(X$2-1&gt;='Dashboard and Input Variables'!$B$34,OFFSET('Cumulative 40yr Model'!X60,0,-'Dashboard and Input Variables'!$B$34,1,1),0)</f>
        <v>0.21620091324200919</v>
      </c>
      <c r="Y47" s="78">
        <f ca="1">X47+X60-IF(Y$2-1&gt;='Dashboard and Input Variables'!$B$34,OFFSET('Cumulative 40yr Model'!Y60,0,-'Dashboard and Input Variables'!$B$34,1,1),0)</f>
        <v>0.21620091324200919</v>
      </c>
      <c r="Z47" s="78">
        <f ca="1">Y47+Y60-IF(Z$2-1&gt;='Dashboard and Input Variables'!$B$34,OFFSET('Cumulative 40yr Model'!Z60,0,-'Dashboard and Input Variables'!$B$34,1,1),0)</f>
        <v>0.21620091324200919</v>
      </c>
      <c r="AA47" s="78">
        <f ca="1">Z47+Z60-IF(AA$2-1&gt;='Dashboard and Input Variables'!$B$34,OFFSET('Cumulative 40yr Model'!AA60,0,-'Dashboard and Input Variables'!$B$34,1,1),0)</f>
        <v>0.21620091324200919</v>
      </c>
      <c r="AB47" s="78">
        <f ca="1">AA47+AA60-IF(AB$2-1&gt;='Dashboard and Input Variables'!$B$34,OFFSET('Cumulative 40yr Model'!AB60,0,-'Dashboard and Input Variables'!$B$34,1,1),0)</f>
        <v>0.21620091324200919</v>
      </c>
      <c r="AC47" s="78">
        <f ca="1">AB47+AB60-IF(AC$2-1&gt;='Dashboard and Input Variables'!$B$34,OFFSET('Cumulative 40yr Model'!AC60,0,-'Dashboard and Input Variables'!$B$34,1,1),0)</f>
        <v>0.21620091324200919</v>
      </c>
      <c r="AD47" s="78">
        <f ca="1">AC47+AC60-IF(AD$2-1&gt;='Dashboard and Input Variables'!$B$34,OFFSET('Cumulative 40yr Model'!AD60,0,-'Dashboard and Input Variables'!$B$34,1,1),0)</f>
        <v>0.21620091324200919</v>
      </c>
      <c r="AE47" s="78">
        <f ca="1">AD47+AD60-IF(AE$2-1&gt;='Dashboard and Input Variables'!$B$34,OFFSET('Cumulative 40yr Model'!AE60,0,-'Dashboard and Input Variables'!$B$34,1,1),0)</f>
        <v>0.21620091324200919</v>
      </c>
      <c r="AF47" s="78">
        <f ca="1">AE47+AE60-IF(AF$2-1&gt;='Dashboard and Input Variables'!$B$34,OFFSET('Cumulative 40yr Model'!AF60,0,-'Dashboard and Input Variables'!$B$34,1,1),0)</f>
        <v>0.21620091324200919</v>
      </c>
      <c r="AG47" s="78">
        <f ca="1">AF47+AF60-IF(AG$2-1&gt;='Dashboard and Input Variables'!$B$34,OFFSET('Cumulative 40yr Model'!AG60,0,-'Dashboard and Input Variables'!$B$34,1,1),0)</f>
        <v>0.21620091324200919</v>
      </c>
      <c r="AH47" s="78">
        <f ca="1">AG47+AG60-IF(AH$2-1&gt;='Dashboard and Input Variables'!$B$34,OFFSET('Cumulative 40yr Model'!AH60,0,-'Dashboard and Input Variables'!$B$34,1,1),0)</f>
        <v>0.21620091324200919</v>
      </c>
      <c r="AI47" s="78">
        <f ca="1">AH47+AH60-IF(AI$2-1&gt;='Dashboard and Input Variables'!$B$34,OFFSET('Cumulative 40yr Model'!AI60,0,-'Dashboard and Input Variables'!$B$34,1,1),0)</f>
        <v>0.21620091324200919</v>
      </c>
      <c r="AJ47" s="78">
        <f ca="1">AI47+AI60-IF(AJ$2-1&gt;='Dashboard and Input Variables'!$B$34,OFFSET('Cumulative 40yr Model'!AJ60,0,-'Dashboard and Input Variables'!$B$34,1,1),0)</f>
        <v>0.21620091324200919</v>
      </c>
      <c r="AK47" s="78">
        <f ca="1">AJ47+AJ60-IF(AK$2-1&gt;='Dashboard and Input Variables'!$B$34,OFFSET('Cumulative 40yr Model'!AK60,0,-'Dashboard and Input Variables'!$B$34,1,1),0)</f>
        <v>0.21620091324200919</v>
      </c>
      <c r="AL47" s="78">
        <f ca="1">AK47+AK60-IF(AL$2-1&gt;='Dashboard and Input Variables'!$B$34,OFFSET('Cumulative 40yr Model'!AL60,0,-'Dashboard and Input Variables'!$B$34,1,1),0)</f>
        <v>0.21620091324200919</v>
      </c>
      <c r="AM47" s="78">
        <f ca="1">AL47+AL60-IF(AM$2-1&gt;='Dashboard and Input Variables'!$B$34,OFFSET('Cumulative 40yr Model'!AM60,0,-'Dashboard and Input Variables'!$B$34,1,1),0)</f>
        <v>0.21620091324200919</v>
      </c>
      <c r="AN47" s="78">
        <f ca="1">AM47+AM60-IF(AN$2-1&gt;='Dashboard and Input Variables'!$B$34,OFFSET('Cumulative 40yr Model'!AN60,0,-'Dashboard and Input Variables'!$B$34,1,1),0)</f>
        <v>0.21620091324200919</v>
      </c>
      <c r="AO47" s="78">
        <f ca="1">AN47+AN60-IF(AO$2-1&gt;='Dashboard and Input Variables'!$B$34,OFFSET('Cumulative 40yr Model'!AO60,0,-'Dashboard and Input Variables'!$B$34,1,1),0)</f>
        <v>0.21620091324200919</v>
      </c>
      <c r="AP47" s="78">
        <f ca="1">AO47+AO60-IF(AP$2-1&gt;='Dashboard and Input Variables'!$B$34,OFFSET('Cumulative 40yr Model'!AP60,0,-'Dashboard and Input Variables'!$B$34,1,1),0)</f>
        <v>0.21620091324200919</v>
      </c>
      <c r="AQ47" s="78">
        <f ca="1">AP47+AP60-IF(AQ$2-1&gt;='Dashboard and Input Variables'!$B$34,OFFSET('Cumulative 40yr Model'!AQ60,0,-'Dashboard and Input Variables'!$B$34,1,1),0)</f>
        <v>0.21620091324200919</v>
      </c>
      <c r="AR47" s="79">
        <f ca="1">AQ47+AQ60-IF(AR$2-1&gt;='Dashboard and Input Variables'!$B$34,OFFSET('Cumulative 40yr Model'!AR60,0,-'Dashboard and Input Variables'!$B$34,1,1),0)</f>
        <v>0.21620091324200919</v>
      </c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</row>
    <row r="48" spans="1:60" x14ac:dyDescent="0.25">
      <c r="A48" s="9">
        <f>'Grid Sizes, Locations, and GHGs'!D6</f>
        <v>0</v>
      </c>
      <c r="B48" s="9"/>
      <c r="C48" s="61" t="str">
        <f>'Grid Sizes, Locations, and GHGs'!A6</f>
        <v>Onsite Usage Electric Assist Indirect</v>
      </c>
      <c r="D48" s="9">
        <v>0</v>
      </c>
      <c r="E48" s="9">
        <v>0</v>
      </c>
      <c r="F48" s="62">
        <f ca="1">E48+E61-IF(F$2-1&gt;='Dashboard and Input Variables'!$B$34,OFFSET('Cumulative 40yr Model'!F61,0,-'Dashboard and Input Variables'!$B$34,1,1),0)</f>
        <v>0</v>
      </c>
      <c r="G48" s="62">
        <f ca="1">F48+F61-IF(G$2-1&gt;='Dashboard and Input Variables'!$B$34,OFFSET('Cumulative 40yr Model'!G61,0,-'Dashboard and Input Variables'!$B$34,1,1),0)</f>
        <v>0</v>
      </c>
      <c r="H48" s="62">
        <f ca="1">G48+G61-IF(H$2-1&gt;='Dashboard and Input Variables'!$B$34,OFFSET('Cumulative 40yr Model'!H61,0,-'Dashboard and Input Variables'!$B$34,1,1),0)</f>
        <v>0</v>
      </c>
      <c r="I48" s="62">
        <f ca="1">H48+H61-IF(I$2-1&gt;='Dashboard and Input Variables'!$B$34,OFFSET('Cumulative 40yr Model'!I61,0,-'Dashboard and Input Variables'!$B$34,1,1),0)</f>
        <v>0</v>
      </c>
      <c r="J48" s="62">
        <f ca="1">I48+I61-IF(J$2-1&gt;='Dashboard and Input Variables'!$B$34,OFFSET('Cumulative 40yr Model'!J61,0,-'Dashboard and Input Variables'!$B$34,1,1),0)</f>
        <v>0</v>
      </c>
      <c r="K48" s="62">
        <f ca="1">J48+J61-IF(K$2-1&gt;='Dashboard and Input Variables'!$B$34,OFFSET('Cumulative 40yr Model'!K61,0,-'Dashboard and Input Variables'!$B$34,1,1),0)</f>
        <v>0</v>
      </c>
      <c r="L48" s="62">
        <f ca="1">K48+K61-IF(L$2-1&gt;='Dashboard and Input Variables'!$B$34,OFFSET('Cumulative 40yr Model'!L61,0,-'Dashboard and Input Variables'!$B$34,1,1),0)</f>
        <v>0</v>
      </c>
      <c r="M48" s="62">
        <f ca="1">L48+L61-IF(M$2-1&gt;='Dashboard and Input Variables'!$B$34,OFFSET('Cumulative 40yr Model'!M61,0,-'Dashboard and Input Variables'!$B$34,1,1),0)</f>
        <v>0</v>
      </c>
      <c r="N48" s="62">
        <f ca="1">M48+M61-IF(N$2-1&gt;='Dashboard and Input Variables'!$B$34,OFFSET('Cumulative 40yr Model'!N61,0,-'Dashboard and Input Variables'!$B$34,1,1),0)</f>
        <v>0</v>
      </c>
      <c r="O48" s="62">
        <f ca="1">N48+N61-IF(O$2-1&gt;='Dashboard and Input Variables'!$B$34,OFFSET('Cumulative 40yr Model'!O61,0,-'Dashboard and Input Variables'!$B$34,1,1),0)</f>
        <v>0</v>
      </c>
      <c r="P48" s="62">
        <f ca="1">O48+O61-IF(P$2-1&gt;='Dashboard and Input Variables'!$B$34,OFFSET('Cumulative 40yr Model'!P61,0,-'Dashboard and Input Variables'!$B$34,1,1),0)</f>
        <v>0</v>
      </c>
      <c r="Q48" s="62">
        <f ca="1">P48+P61-IF(Q$2-1&gt;='Dashboard and Input Variables'!$B$34,OFFSET('Cumulative 40yr Model'!Q61,0,-'Dashboard and Input Variables'!$B$34,1,1),0)</f>
        <v>0</v>
      </c>
      <c r="R48" s="62">
        <f ca="1">Q48+Q61-IF(R$2-1&gt;='Dashboard and Input Variables'!$B$34,OFFSET('Cumulative 40yr Model'!R61,0,-'Dashboard and Input Variables'!$B$34,1,1),0)</f>
        <v>0</v>
      </c>
      <c r="S48" s="62">
        <f ca="1">R48+R61-IF(S$2-1&gt;='Dashboard and Input Variables'!$B$34,OFFSET('Cumulative 40yr Model'!S61,0,-'Dashboard and Input Variables'!$B$34,1,1),0)</f>
        <v>0</v>
      </c>
      <c r="T48" s="62">
        <f ca="1">S48+S61-IF(T$2-1&gt;='Dashboard and Input Variables'!$B$34,OFFSET('Cumulative 40yr Model'!T61,0,-'Dashboard and Input Variables'!$B$34,1,1),0)</f>
        <v>0</v>
      </c>
      <c r="U48" s="62">
        <f ca="1">T48+T61-IF(U$2-1&gt;='Dashboard and Input Variables'!$B$34,OFFSET('Cumulative 40yr Model'!U61,0,-'Dashboard and Input Variables'!$B$34,1,1),0)</f>
        <v>0</v>
      </c>
      <c r="V48" s="62">
        <f ca="1">U48+U61-IF(V$2-1&gt;='Dashboard and Input Variables'!$B$34,OFFSET('Cumulative 40yr Model'!V61,0,-'Dashboard and Input Variables'!$B$34,1,1),0)</f>
        <v>0</v>
      </c>
      <c r="W48" s="62">
        <f ca="1">V48+V61-IF(W$2-1&gt;='Dashboard and Input Variables'!$B$34,OFFSET('Cumulative 40yr Model'!W61,0,-'Dashboard and Input Variables'!$B$34,1,1),0)</f>
        <v>0</v>
      </c>
      <c r="X48" s="62">
        <f ca="1">W48+W61-IF(X$2-1&gt;='Dashboard and Input Variables'!$B$34,OFFSET('Cumulative 40yr Model'!X61,0,-'Dashboard and Input Variables'!$B$34,1,1),0)</f>
        <v>0</v>
      </c>
      <c r="Y48" s="62">
        <f ca="1">X48+X61-IF(Y$2-1&gt;='Dashboard and Input Variables'!$B$34,OFFSET('Cumulative 40yr Model'!Y61,0,-'Dashboard and Input Variables'!$B$34,1,1),0)</f>
        <v>0</v>
      </c>
      <c r="Z48" s="62">
        <f ca="1">Y48+Y61-IF(Z$2-1&gt;='Dashboard and Input Variables'!$B$34,OFFSET('Cumulative 40yr Model'!Z61,0,-'Dashboard and Input Variables'!$B$34,1,1),0)</f>
        <v>0</v>
      </c>
      <c r="AA48" s="62">
        <f ca="1">Z48+Z61-IF(AA$2-1&gt;='Dashboard and Input Variables'!$B$34,OFFSET('Cumulative 40yr Model'!AA61,0,-'Dashboard and Input Variables'!$B$34,1,1),0)</f>
        <v>0</v>
      </c>
      <c r="AB48" s="62">
        <f ca="1">AA48+AA61-IF(AB$2-1&gt;='Dashboard and Input Variables'!$B$34,OFFSET('Cumulative 40yr Model'!AB61,0,-'Dashboard and Input Variables'!$B$34,1,1),0)</f>
        <v>0</v>
      </c>
      <c r="AC48" s="62">
        <f ca="1">AB48+AB61-IF(AC$2-1&gt;='Dashboard and Input Variables'!$B$34,OFFSET('Cumulative 40yr Model'!AC61,0,-'Dashboard and Input Variables'!$B$34,1,1),0)</f>
        <v>0</v>
      </c>
      <c r="AD48" s="62">
        <f ca="1">AC48+AC61-IF(AD$2-1&gt;='Dashboard and Input Variables'!$B$34,OFFSET('Cumulative 40yr Model'!AD61,0,-'Dashboard and Input Variables'!$B$34,1,1),0)</f>
        <v>0</v>
      </c>
      <c r="AE48" s="62">
        <f ca="1">AD48+AD61-IF(AE$2-1&gt;='Dashboard and Input Variables'!$B$34,OFFSET('Cumulative 40yr Model'!AE61,0,-'Dashboard and Input Variables'!$B$34,1,1),0)</f>
        <v>0</v>
      </c>
      <c r="AF48" s="62">
        <f ca="1">AE48+AE61-IF(AF$2-1&gt;='Dashboard and Input Variables'!$B$34,OFFSET('Cumulative 40yr Model'!AF61,0,-'Dashboard and Input Variables'!$B$34,1,1),0)</f>
        <v>0</v>
      </c>
      <c r="AG48" s="62">
        <f ca="1">AF48+AF61-IF(AG$2-1&gt;='Dashboard and Input Variables'!$B$34,OFFSET('Cumulative 40yr Model'!AG61,0,-'Dashboard and Input Variables'!$B$34,1,1),0)</f>
        <v>0</v>
      </c>
      <c r="AH48" s="62">
        <f ca="1">AG48+AG61-IF(AH$2-1&gt;='Dashboard and Input Variables'!$B$34,OFFSET('Cumulative 40yr Model'!AH61,0,-'Dashboard and Input Variables'!$B$34,1,1),0)</f>
        <v>0</v>
      </c>
      <c r="AI48" s="62">
        <f ca="1">AH48+AH61-IF(AI$2-1&gt;='Dashboard and Input Variables'!$B$34,OFFSET('Cumulative 40yr Model'!AI61,0,-'Dashboard and Input Variables'!$B$34,1,1),0)</f>
        <v>0</v>
      </c>
      <c r="AJ48" s="62">
        <f ca="1">AI48+AI61-IF(AJ$2-1&gt;='Dashboard and Input Variables'!$B$34,OFFSET('Cumulative 40yr Model'!AJ61,0,-'Dashboard and Input Variables'!$B$34,1,1),0)</f>
        <v>0</v>
      </c>
      <c r="AK48" s="62">
        <f ca="1">AJ48+AJ61-IF(AK$2-1&gt;='Dashboard and Input Variables'!$B$34,OFFSET('Cumulative 40yr Model'!AK61,0,-'Dashboard and Input Variables'!$B$34,1,1),0)</f>
        <v>0</v>
      </c>
      <c r="AL48" s="62">
        <f ca="1">AK48+AK61-IF(AL$2-1&gt;='Dashboard and Input Variables'!$B$34,OFFSET('Cumulative 40yr Model'!AL61,0,-'Dashboard and Input Variables'!$B$34,1,1),0)</f>
        <v>0</v>
      </c>
      <c r="AM48" s="62">
        <f ca="1">AL48+AL61-IF(AM$2-1&gt;='Dashboard and Input Variables'!$B$34,OFFSET('Cumulative 40yr Model'!AM61,0,-'Dashboard and Input Variables'!$B$34,1,1),0)</f>
        <v>0</v>
      </c>
      <c r="AN48" s="62">
        <f ca="1">AM48+AM61-IF(AN$2-1&gt;='Dashboard and Input Variables'!$B$34,OFFSET('Cumulative 40yr Model'!AN61,0,-'Dashboard and Input Variables'!$B$34,1,1),0)</f>
        <v>0</v>
      </c>
      <c r="AO48" s="62">
        <f ca="1">AN48+AN61-IF(AO$2-1&gt;='Dashboard and Input Variables'!$B$34,OFFSET('Cumulative 40yr Model'!AO61,0,-'Dashboard and Input Variables'!$B$34,1,1),0)</f>
        <v>0</v>
      </c>
      <c r="AP48" s="62">
        <f ca="1">AO48+AO61-IF(AP$2-1&gt;='Dashboard and Input Variables'!$B$34,OFFSET('Cumulative 40yr Model'!AP61,0,-'Dashboard and Input Variables'!$B$34,1,1),0)</f>
        <v>0</v>
      </c>
      <c r="AQ48" s="62">
        <f ca="1">AP48+AP61-IF(AQ$2-1&gt;='Dashboard and Input Variables'!$B$34,OFFSET('Cumulative 40yr Model'!AQ61,0,-'Dashboard and Input Variables'!$B$34,1,1),0)</f>
        <v>0</v>
      </c>
      <c r="AR48" s="63">
        <f ca="1">AQ48+AQ61-IF(AR$2-1&gt;='Dashboard and Input Variables'!$B$34,OFFSET('Cumulative 40yr Model'!AR61,0,-'Dashboard and Input Variables'!$B$34,1,1),0)</f>
        <v>0</v>
      </c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</row>
    <row r="49" spans="1:60" x14ac:dyDescent="0.25">
      <c r="A49" s="9">
        <f>'Grid Sizes, Locations, and GHGs'!D7</f>
        <v>0</v>
      </c>
      <c r="B49" s="9"/>
      <c r="C49" s="61" t="str">
        <f>'Grid Sizes, Locations, and GHGs'!A7</f>
        <v>Onsite Usage Electric Assist Direct</v>
      </c>
      <c r="D49" s="9">
        <v>0</v>
      </c>
      <c r="E49" s="9">
        <v>0</v>
      </c>
      <c r="F49" s="62">
        <f ca="1">E49+E62-IF(F$2-1&gt;='Dashboard and Input Variables'!$B$34,OFFSET('Cumulative 40yr Model'!F62,0,-'Dashboard and Input Variables'!$B$34,1,1),0)</f>
        <v>0</v>
      </c>
      <c r="G49" s="62">
        <f ca="1">F49+F62-IF(G$2-1&gt;='Dashboard and Input Variables'!$B$34,OFFSET('Cumulative 40yr Model'!G62,0,-'Dashboard and Input Variables'!$B$34,1,1),0)</f>
        <v>0</v>
      </c>
      <c r="H49" s="62">
        <f ca="1">G49+G62-IF(H$2-1&gt;='Dashboard and Input Variables'!$B$34,OFFSET('Cumulative 40yr Model'!H62,0,-'Dashboard and Input Variables'!$B$34,1,1),0)</f>
        <v>0</v>
      </c>
      <c r="I49" s="62">
        <f ca="1">H49+H62-IF(I$2-1&gt;='Dashboard and Input Variables'!$B$34,OFFSET('Cumulative 40yr Model'!I62,0,-'Dashboard and Input Variables'!$B$34,1,1),0)</f>
        <v>0</v>
      </c>
      <c r="J49" s="62">
        <f ca="1">I49+I62-IF(J$2-1&gt;='Dashboard and Input Variables'!$B$34,OFFSET('Cumulative 40yr Model'!J62,0,-'Dashboard and Input Variables'!$B$34,1,1),0)</f>
        <v>0</v>
      </c>
      <c r="K49" s="62">
        <f ca="1">J49+J62-IF(K$2-1&gt;='Dashboard and Input Variables'!$B$34,OFFSET('Cumulative 40yr Model'!K62,0,-'Dashboard and Input Variables'!$B$34,1,1),0)</f>
        <v>0</v>
      </c>
      <c r="L49" s="62">
        <f ca="1">K49+K62-IF(L$2-1&gt;='Dashboard and Input Variables'!$B$34,OFFSET('Cumulative 40yr Model'!L62,0,-'Dashboard and Input Variables'!$B$34,1,1),0)</f>
        <v>0</v>
      </c>
      <c r="M49" s="62">
        <f ca="1">L49+L62-IF(M$2-1&gt;='Dashboard and Input Variables'!$B$34,OFFSET('Cumulative 40yr Model'!M62,0,-'Dashboard and Input Variables'!$B$34,1,1),0)</f>
        <v>0</v>
      </c>
      <c r="N49" s="62">
        <f ca="1">M49+M62-IF(N$2-1&gt;='Dashboard and Input Variables'!$B$34,OFFSET('Cumulative 40yr Model'!N62,0,-'Dashboard and Input Variables'!$B$34,1,1),0)</f>
        <v>0</v>
      </c>
      <c r="O49" s="62">
        <f ca="1">N49+N62-IF(O$2-1&gt;='Dashboard and Input Variables'!$B$34,OFFSET('Cumulative 40yr Model'!O62,0,-'Dashboard and Input Variables'!$B$34,1,1),0)</f>
        <v>0</v>
      </c>
      <c r="P49" s="62">
        <f ca="1">O49+O62-IF(P$2-1&gt;='Dashboard and Input Variables'!$B$34,OFFSET('Cumulative 40yr Model'!P62,0,-'Dashboard and Input Variables'!$B$34,1,1),0)</f>
        <v>0</v>
      </c>
      <c r="Q49" s="62">
        <f ca="1">P49+P62-IF(Q$2-1&gt;='Dashboard and Input Variables'!$B$34,OFFSET('Cumulative 40yr Model'!Q62,0,-'Dashboard and Input Variables'!$B$34,1,1),0)</f>
        <v>0</v>
      </c>
      <c r="R49" s="62">
        <f ca="1">Q49+Q62-IF(R$2-1&gt;='Dashboard and Input Variables'!$B$34,OFFSET('Cumulative 40yr Model'!R62,0,-'Dashboard and Input Variables'!$B$34,1,1),0)</f>
        <v>0</v>
      </c>
      <c r="S49" s="62">
        <f ca="1">R49+R62-IF(S$2-1&gt;='Dashboard and Input Variables'!$B$34,OFFSET('Cumulative 40yr Model'!S62,0,-'Dashboard and Input Variables'!$B$34,1,1),0)</f>
        <v>0</v>
      </c>
      <c r="T49" s="62">
        <f ca="1">S49+S62-IF(T$2-1&gt;='Dashboard and Input Variables'!$B$34,OFFSET('Cumulative 40yr Model'!T62,0,-'Dashboard and Input Variables'!$B$34,1,1),0)</f>
        <v>0</v>
      </c>
      <c r="U49" s="62">
        <f ca="1">T49+T62-IF(U$2-1&gt;='Dashboard and Input Variables'!$B$34,OFFSET('Cumulative 40yr Model'!U62,0,-'Dashboard and Input Variables'!$B$34,1,1),0)</f>
        <v>0</v>
      </c>
      <c r="V49" s="62">
        <f ca="1">U49+U62-IF(V$2-1&gt;='Dashboard and Input Variables'!$B$34,OFFSET('Cumulative 40yr Model'!V62,0,-'Dashboard and Input Variables'!$B$34,1,1),0)</f>
        <v>0</v>
      </c>
      <c r="W49" s="62">
        <f ca="1">V49+V62-IF(W$2-1&gt;='Dashboard and Input Variables'!$B$34,OFFSET('Cumulative 40yr Model'!W62,0,-'Dashboard and Input Variables'!$B$34,1,1),0)</f>
        <v>0</v>
      </c>
      <c r="X49" s="62">
        <f ca="1">W49+W62-IF(X$2-1&gt;='Dashboard and Input Variables'!$B$34,OFFSET('Cumulative 40yr Model'!X62,0,-'Dashboard and Input Variables'!$B$34,1,1),0)</f>
        <v>0</v>
      </c>
      <c r="Y49" s="62">
        <f ca="1">X49+X62-IF(Y$2-1&gt;='Dashboard and Input Variables'!$B$34,OFFSET('Cumulative 40yr Model'!Y62,0,-'Dashboard and Input Variables'!$B$34,1,1),0)</f>
        <v>0</v>
      </c>
      <c r="Z49" s="62">
        <f ca="1">Y49+Y62-IF(Z$2-1&gt;='Dashboard and Input Variables'!$B$34,OFFSET('Cumulative 40yr Model'!Z62,0,-'Dashboard and Input Variables'!$B$34,1,1),0)</f>
        <v>0</v>
      </c>
      <c r="AA49" s="62">
        <f ca="1">Z49+Z62-IF(AA$2-1&gt;='Dashboard and Input Variables'!$B$34,OFFSET('Cumulative 40yr Model'!AA62,0,-'Dashboard and Input Variables'!$B$34,1,1),0)</f>
        <v>0</v>
      </c>
      <c r="AB49" s="62">
        <f ca="1">AA49+AA62-IF(AB$2-1&gt;='Dashboard and Input Variables'!$B$34,OFFSET('Cumulative 40yr Model'!AB62,0,-'Dashboard and Input Variables'!$B$34,1,1),0)</f>
        <v>0</v>
      </c>
      <c r="AC49" s="62">
        <f ca="1">AB49+AB62-IF(AC$2-1&gt;='Dashboard and Input Variables'!$B$34,OFFSET('Cumulative 40yr Model'!AC62,0,-'Dashboard and Input Variables'!$B$34,1,1),0)</f>
        <v>0</v>
      </c>
      <c r="AD49" s="62">
        <f ca="1">AC49+AC62-IF(AD$2-1&gt;='Dashboard and Input Variables'!$B$34,OFFSET('Cumulative 40yr Model'!AD62,0,-'Dashboard and Input Variables'!$B$34,1,1),0)</f>
        <v>0</v>
      </c>
      <c r="AE49" s="62">
        <f ca="1">AD49+AD62-IF(AE$2-1&gt;='Dashboard and Input Variables'!$B$34,OFFSET('Cumulative 40yr Model'!AE62,0,-'Dashboard and Input Variables'!$B$34,1,1),0)</f>
        <v>0</v>
      </c>
      <c r="AF49" s="62">
        <f ca="1">AE49+AE62-IF(AF$2-1&gt;='Dashboard and Input Variables'!$B$34,OFFSET('Cumulative 40yr Model'!AF62,0,-'Dashboard and Input Variables'!$B$34,1,1),0)</f>
        <v>0</v>
      </c>
      <c r="AG49" s="62">
        <f ca="1">AF49+AF62-IF(AG$2-1&gt;='Dashboard and Input Variables'!$B$34,OFFSET('Cumulative 40yr Model'!AG62,0,-'Dashboard and Input Variables'!$B$34,1,1),0)</f>
        <v>0</v>
      </c>
      <c r="AH49" s="62">
        <f ca="1">AG49+AG62-IF(AH$2-1&gt;='Dashboard and Input Variables'!$B$34,OFFSET('Cumulative 40yr Model'!AH62,0,-'Dashboard and Input Variables'!$B$34,1,1),0)</f>
        <v>0</v>
      </c>
      <c r="AI49" s="62">
        <f ca="1">AH49+AH62-IF(AI$2-1&gt;='Dashboard and Input Variables'!$B$34,OFFSET('Cumulative 40yr Model'!AI62,0,-'Dashboard and Input Variables'!$B$34,1,1),0)</f>
        <v>0</v>
      </c>
      <c r="AJ49" s="62">
        <f ca="1">AI49+AI62-IF(AJ$2-1&gt;='Dashboard and Input Variables'!$B$34,OFFSET('Cumulative 40yr Model'!AJ62,0,-'Dashboard and Input Variables'!$B$34,1,1),0)</f>
        <v>0</v>
      </c>
      <c r="AK49" s="62">
        <f ca="1">AJ49+AJ62-IF(AK$2-1&gt;='Dashboard and Input Variables'!$B$34,OFFSET('Cumulative 40yr Model'!AK62,0,-'Dashboard and Input Variables'!$B$34,1,1),0)</f>
        <v>0</v>
      </c>
      <c r="AL49" s="62">
        <f ca="1">AK49+AK62-IF(AL$2-1&gt;='Dashboard and Input Variables'!$B$34,OFFSET('Cumulative 40yr Model'!AL62,0,-'Dashboard and Input Variables'!$B$34,1,1),0)</f>
        <v>0</v>
      </c>
      <c r="AM49" s="62">
        <f ca="1">AL49+AL62-IF(AM$2-1&gt;='Dashboard and Input Variables'!$B$34,OFFSET('Cumulative 40yr Model'!AM62,0,-'Dashboard and Input Variables'!$B$34,1,1),0)</f>
        <v>0</v>
      </c>
      <c r="AN49" s="62">
        <f ca="1">AM49+AM62-IF(AN$2-1&gt;='Dashboard and Input Variables'!$B$34,OFFSET('Cumulative 40yr Model'!AN62,0,-'Dashboard and Input Variables'!$B$34,1,1),0)</f>
        <v>0</v>
      </c>
      <c r="AO49" s="62">
        <f ca="1">AN49+AN62-IF(AO$2-1&gt;='Dashboard and Input Variables'!$B$34,OFFSET('Cumulative 40yr Model'!AO62,0,-'Dashboard and Input Variables'!$B$34,1,1),0)</f>
        <v>0</v>
      </c>
      <c r="AP49" s="62">
        <f ca="1">AO49+AO62-IF(AP$2-1&gt;='Dashboard and Input Variables'!$B$34,OFFSET('Cumulative 40yr Model'!AP62,0,-'Dashboard and Input Variables'!$B$34,1,1),0)</f>
        <v>0</v>
      </c>
      <c r="AQ49" s="62">
        <f ca="1">AP49+AP62-IF(AQ$2-1&gt;='Dashboard and Input Variables'!$B$34,OFFSET('Cumulative 40yr Model'!AQ62,0,-'Dashboard and Input Variables'!$B$34,1,1),0)</f>
        <v>0</v>
      </c>
      <c r="AR49" s="63">
        <f ca="1">AQ49+AQ62-IF(AR$2-1&gt;='Dashboard and Input Variables'!$B$34,OFFSET('Cumulative 40yr Model'!AR62,0,-'Dashboard and Input Variables'!$B$34,1,1),0)</f>
        <v>0</v>
      </c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</row>
    <row r="50" spans="1:60" x14ac:dyDescent="0.25">
      <c r="A50" s="9">
        <f>'Grid Sizes, Locations, and GHGs'!D8</f>
        <v>500</v>
      </c>
      <c r="B50" s="9"/>
      <c r="C50" s="61" t="str">
        <f>'Grid Sizes, Locations, and GHGs'!A8</f>
        <v>Alberta</v>
      </c>
      <c r="D50" s="9">
        <v>0</v>
      </c>
      <c r="E50" s="9">
        <v>0</v>
      </c>
      <c r="F50" s="62">
        <f ca="1">E50+E63-IF(F$2-1&gt;='Dashboard and Input Variables'!$B$34,OFFSET('Cumulative 40yr Model'!F63,0,-'Dashboard and Input Variables'!$B$34,1,1),0)</f>
        <v>0.65797686453576865</v>
      </c>
      <c r="G50" s="62">
        <f ca="1">F50+F63-IF(G$2-1&gt;='Dashboard and Input Variables'!$B$34,OFFSET('Cumulative 40yr Model'!G63,0,-'Dashboard and Input Variables'!$B$34,1,1),0)</f>
        <v>1.4287000000000003</v>
      </c>
      <c r="H50" s="62">
        <f ca="1">G50+G63-IF(H$2-1&gt;='Dashboard and Input Variables'!$B$34,OFFSET('Cumulative 40yr Model'!H63,0,-'Dashboard and Input Variables'!$B$34,1,1),0)</f>
        <v>1.4287000000000003</v>
      </c>
      <c r="I50" s="62">
        <f ca="1">H50+H63-IF(I$2-1&gt;='Dashboard and Input Variables'!$B$34,OFFSET('Cumulative 40yr Model'!I63,0,-'Dashboard and Input Variables'!$B$34,1,1),0)</f>
        <v>1.4287000000000003</v>
      </c>
      <c r="J50" s="62">
        <f ca="1">I50+I63-IF(J$2-1&gt;='Dashboard and Input Variables'!$B$34,OFFSET('Cumulative 40yr Model'!J63,0,-'Dashboard and Input Variables'!$B$34,1,1),0)</f>
        <v>1.4287000000000003</v>
      </c>
      <c r="K50" s="62">
        <f ca="1">J50+J63-IF(K$2-1&gt;='Dashboard and Input Variables'!$B$34,OFFSET('Cumulative 40yr Model'!K63,0,-'Dashboard and Input Variables'!$B$34,1,1),0)</f>
        <v>1.4287000000000003</v>
      </c>
      <c r="L50" s="62">
        <f ca="1">K50+K63-IF(L$2-1&gt;='Dashboard and Input Variables'!$B$34,OFFSET('Cumulative 40yr Model'!L63,0,-'Dashboard and Input Variables'!$B$34,1,1),0)</f>
        <v>1.4287000000000003</v>
      </c>
      <c r="M50" s="62">
        <f ca="1">L50+L63-IF(M$2-1&gt;='Dashboard and Input Variables'!$B$34,OFFSET('Cumulative 40yr Model'!M63,0,-'Dashboard and Input Variables'!$B$34,1,1),0)</f>
        <v>1.4287000000000003</v>
      </c>
      <c r="N50" s="62">
        <f ca="1">M50+M63-IF(N$2-1&gt;='Dashboard and Input Variables'!$B$34,OFFSET('Cumulative 40yr Model'!N63,0,-'Dashboard and Input Variables'!$B$34,1,1),0)</f>
        <v>1.4287000000000003</v>
      </c>
      <c r="O50" s="62">
        <f ca="1">N50+N63-IF(O$2-1&gt;='Dashboard and Input Variables'!$B$34,OFFSET('Cumulative 40yr Model'!O63,0,-'Dashboard and Input Variables'!$B$34,1,1),0)</f>
        <v>1.4287000000000003</v>
      </c>
      <c r="P50" s="62">
        <f ca="1">O50+O63-IF(P$2-1&gt;='Dashboard and Input Variables'!$B$34,OFFSET('Cumulative 40yr Model'!P63,0,-'Dashboard and Input Variables'!$B$34,1,1),0)</f>
        <v>1.4287000000000003</v>
      </c>
      <c r="Q50" s="62">
        <f ca="1">P50+P63-IF(Q$2-1&gt;='Dashboard and Input Variables'!$B$34,OFFSET('Cumulative 40yr Model'!Q63,0,-'Dashboard and Input Variables'!$B$34,1,1),0)</f>
        <v>1.4287000000000003</v>
      </c>
      <c r="R50" s="62">
        <f ca="1">Q50+Q63-IF(R$2-1&gt;='Dashboard and Input Variables'!$B$34,OFFSET('Cumulative 40yr Model'!R63,0,-'Dashboard and Input Variables'!$B$34,1,1),0)</f>
        <v>1.4287000000000003</v>
      </c>
      <c r="S50" s="62">
        <f ca="1">R50+R63-IF(S$2-1&gt;='Dashboard and Input Variables'!$B$34,OFFSET('Cumulative 40yr Model'!S63,0,-'Dashboard and Input Variables'!$B$34,1,1),0)</f>
        <v>1.4287000000000003</v>
      </c>
      <c r="T50" s="62">
        <f ca="1">S50+S63-IF(T$2-1&gt;='Dashboard and Input Variables'!$B$34,OFFSET('Cumulative 40yr Model'!T63,0,-'Dashboard and Input Variables'!$B$34,1,1),0)</f>
        <v>1.4287000000000003</v>
      </c>
      <c r="U50" s="62">
        <f ca="1">T50+T63-IF(U$2-1&gt;='Dashboard and Input Variables'!$B$34,OFFSET('Cumulative 40yr Model'!U63,0,-'Dashboard and Input Variables'!$B$34,1,1),0)</f>
        <v>1.4287000000000003</v>
      </c>
      <c r="V50" s="62">
        <f ca="1">U50+U63-IF(V$2-1&gt;='Dashboard and Input Variables'!$B$34,OFFSET('Cumulative 40yr Model'!V63,0,-'Dashboard and Input Variables'!$B$34,1,1),0)</f>
        <v>1.4287000000000003</v>
      </c>
      <c r="W50" s="62">
        <f ca="1">V50+V63-IF(W$2-1&gt;='Dashboard and Input Variables'!$B$34,OFFSET('Cumulative 40yr Model'!W63,0,-'Dashboard and Input Variables'!$B$34,1,1),0)</f>
        <v>1.4287000000000003</v>
      </c>
      <c r="X50" s="62">
        <f ca="1">W50+W63-IF(X$2-1&gt;='Dashboard and Input Variables'!$B$34,OFFSET('Cumulative 40yr Model'!X63,0,-'Dashboard and Input Variables'!$B$34,1,1),0)</f>
        <v>1.4287000000000003</v>
      </c>
      <c r="Y50" s="62">
        <f ca="1">X50+X63-IF(Y$2-1&gt;='Dashboard and Input Variables'!$B$34,OFFSET('Cumulative 40yr Model'!Y63,0,-'Dashboard and Input Variables'!$B$34,1,1),0)</f>
        <v>1.4287000000000003</v>
      </c>
      <c r="Z50" s="62">
        <f ca="1">Y50+Y63-IF(Z$2-1&gt;='Dashboard and Input Variables'!$B$34,OFFSET('Cumulative 40yr Model'!Z63,0,-'Dashboard and Input Variables'!$B$34,1,1),0)</f>
        <v>1.4287000000000003</v>
      </c>
      <c r="AA50" s="62">
        <f ca="1">Z50+Z63-IF(AA$2-1&gt;='Dashboard and Input Variables'!$B$34,OFFSET('Cumulative 40yr Model'!AA63,0,-'Dashboard and Input Variables'!$B$34,1,1),0)</f>
        <v>1.4287000000000003</v>
      </c>
      <c r="AB50" s="62">
        <f ca="1">AA50+AA63-IF(AB$2-1&gt;='Dashboard and Input Variables'!$B$34,OFFSET('Cumulative 40yr Model'!AB63,0,-'Dashboard and Input Variables'!$B$34,1,1),0)</f>
        <v>1.4287000000000003</v>
      </c>
      <c r="AC50" s="62">
        <f ca="1">AB50+AB63-IF(AC$2-1&gt;='Dashboard and Input Variables'!$B$34,OFFSET('Cumulative 40yr Model'!AC63,0,-'Dashboard and Input Variables'!$B$34,1,1),0)</f>
        <v>1.4287000000000003</v>
      </c>
      <c r="AD50" s="62">
        <f ca="1">AC50+AC63-IF(AD$2-1&gt;='Dashboard and Input Variables'!$B$34,OFFSET('Cumulative 40yr Model'!AD63,0,-'Dashboard and Input Variables'!$B$34,1,1),0)</f>
        <v>1.4287000000000003</v>
      </c>
      <c r="AE50" s="62">
        <f ca="1">AD50+AD63-IF(AE$2-1&gt;='Dashboard and Input Variables'!$B$34,OFFSET('Cumulative 40yr Model'!AE63,0,-'Dashboard and Input Variables'!$B$34,1,1),0)</f>
        <v>1.4287000000000003</v>
      </c>
      <c r="AF50" s="62">
        <f ca="1">AE50+AE63-IF(AF$2-1&gt;='Dashboard and Input Variables'!$B$34,OFFSET('Cumulative 40yr Model'!AF63,0,-'Dashboard and Input Variables'!$B$34,1,1),0)</f>
        <v>1.4287000000000003</v>
      </c>
      <c r="AG50" s="62">
        <f ca="1">AF50+AF63-IF(AG$2-1&gt;='Dashboard and Input Variables'!$B$34,OFFSET('Cumulative 40yr Model'!AG63,0,-'Dashboard and Input Variables'!$B$34,1,1),0)</f>
        <v>1.4287000000000003</v>
      </c>
      <c r="AH50" s="62">
        <f ca="1">AG50+AG63-IF(AH$2-1&gt;='Dashboard and Input Variables'!$B$34,OFFSET('Cumulative 40yr Model'!AH63,0,-'Dashboard and Input Variables'!$B$34,1,1),0)</f>
        <v>1.4287000000000003</v>
      </c>
      <c r="AI50" s="62">
        <f ca="1">AH50+AH63-IF(AI$2-1&gt;='Dashboard and Input Variables'!$B$34,OFFSET('Cumulative 40yr Model'!AI63,0,-'Dashboard and Input Variables'!$B$34,1,1),0)</f>
        <v>1.4287000000000003</v>
      </c>
      <c r="AJ50" s="62">
        <f ca="1">AI50+AI63-IF(AJ$2-1&gt;='Dashboard and Input Variables'!$B$34,OFFSET('Cumulative 40yr Model'!AJ63,0,-'Dashboard and Input Variables'!$B$34,1,1),0)</f>
        <v>1.4287000000000003</v>
      </c>
      <c r="AK50" s="62">
        <f ca="1">AJ50+AJ63-IF(AK$2-1&gt;='Dashboard and Input Variables'!$B$34,OFFSET('Cumulative 40yr Model'!AK63,0,-'Dashboard and Input Variables'!$B$34,1,1),0)</f>
        <v>1.4287000000000003</v>
      </c>
      <c r="AL50" s="62">
        <f ca="1">AK50+AK63-IF(AL$2-1&gt;='Dashboard and Input Variables'!$B$34,OFFSET('Cumulative 40yr Model'!AL63,0,-'Dashboard and Input Variables'!$B$34,1,1),0)</f>
        <v>1.4287000000000003</v>
      </c>
      <c r="AM50" s="62">
        <f ca="1">AL50+AL63-IF(AM$2-1&gt;='Dashboard and Input Variables'!$B$34,OFFSET('Cumulative 40yr Model'!AM63,0,-'Dashboard and Input Variables'!$B$34,1,1),0)</f>
        <v>1.4287000000000003</v>
      </c>
      <c r="AN50" s="62">
        <f ca="1">AM50+AM63-IF(AN$2-1&gt;='Dashboard and Input Variables'!$B$34,OFFSET('Cumulative 40yr Model'!AN63,0,-'Dashboard and Input Variables'!$B$34,1,1),0)</f>
        <v>1.4287000000000003</v>
      </c>
      <c r="AO50" s="62">
        <f ca="1">AN50+AN63-IF(AO$2-1&gt;='Dashboard and Input Variables'!$B$34,OFFSET('Cumulative 40yr Model'!AO63,0,-'Dashboard and Input Variables'!$B$34,1,1),0)</f>
        <v>1.4287000000000003</v>
      </c>
      <c r="AP50" s="62">
        <f ca="1">AO50+AO63-IF(AP$2-1&gt;='Dashboard and Input Variables'!$B$34,OFFSET('Cumulative 40yr Model'!AP63,0,-'Dashboard and Input Variables'!$B$34,1,1),0)</f>
        <v>1.4287000000000003</v>
      </c>
      <c r="AQ50" s="62">
        <f ca="1">AP50+AP63-IF(AQ$2-1&gt;='Dashboard and Input Variables'!$B$34,OFFSET('Cumulative 40yr Model'!AQ63,0,-'Dashboard and Input Variables'!$B$34,1,1),0)</f>
        <v>1.4287000000000003</v>
      </c>
      <c r="AR50" s="63">
        <f ca="1">AQ50+AQ63-IF(AR$2-1&gt;='Dashboard and Input Variables'!$B$34,OFFSET('Cumulative 40yr Model'!AR63,0,-'Dashboard and Input Variables'!$B$34,1,1),0)</f>
        <v>1.4287000000000003</v>
      </c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</row>
    <row r="51" spans="1:60" x14ac:dyDescent="0.25">
      <c r="A51" s="9">
        <f>'Grid Sizes, Locations, and GHGs'!D9</f>
        <v>3200</v>
      </c>
      <c r="B51" s="9"/>
      <c r="C51" s="61" t="str">
        <f>'Grid Sizes, Locations, and GHGs'!A9</f>
        <v>USA (excluding California)</v>
      </c>
      <c r="D51" s="9">
        <v>0</v>
      </c>
      <c r="E51" s="9">
        <v>0</v>
      </c>
      <c r="F51" s="62">
        <f ca="1">E51+E64-IF(F$2-1&gt;='Dashboard and Input Variables'!$B$34,OFFSET('Cumulative 40yr Model'!F64,0,-'Dashboard and Input Variables'!$B$34,1,1),0)</f>
        <v>0</v>
      </c>
      <c r="G51" s="62">
        <f ca="1">F51+F64-IF(G$2-1&gt;='Dashboard and Input Variables'!$B$34,OFFSET('Cumulative 40yr Model'!G64,0,-'Dashboard and Input Variables'!$B$34,1,1),0)</f>
        <v>8.4181952507855096E-2</v>
      </c>
      <c r="H51" s="62">
        <f ca="1">G51+G64-IF(H$2-1&gt;='Dashboard and Input Variables'!$B$34,OFFSET('Cumulative 40yr Model'!H64,0,-'Dashboard and Input Variables'!$B$34,1,1),0)</f>
        <v>0.92037072248052532</v>
      </c>
      <c r="I51" s="62">
        <f ca="1">H51+H64-IF(I$2-1&gt;='Dashboard and Input Variables'!$B$34,OFFSET('Cumulative 40yr Model'!I64,0,-'Dashboard and Input Variables'!$B$34,1,1),0)</f>
        <v>1.6755742302786363</v>
      </c>
      <c r="J51" s="62">
        <f ca="1">I51+I64-IF(J$2-1&gt;='Dashboard and Input Variables'!$B$34,OFFSET('Cumulative 40yr Model'!J64,0,-'Dashboard and Input Variables'!$B$34,1,1),0)</f>
        <v>2.4356776851378261</v>
      </c>
      <c r="K51" s="62">
        <f ca="1">J51+J64-IF(K$2-1&gt;='Dashboard and Input Variables'!$B$34,OFFSET('Cumulative 40yr Model'!K64,0,-'Dashboard and Input Variables'!$B$34,1,1),0)</f>
        <v>3.1905183370845882</v>
      </c>
      <c r="L51" s="62">
        <f ca="1">K51+K64-IF(L$2-1&gt;='Dashboard and Input Variables'!$B$34,OFFSET('Cumulative 40yr Model'!L64,0,-'Dashboard and Input Variables'!$B$34,1,1),0)</f>
        <v>3.9414852600037205</v>
      </c>
      <c r="M51" s="62">
        <f ca="1">L51+L64-IF(M$2-1&gt;='Dashboard and Input Variables'!$B$34,OFFSET('Cumulative 40yr Model'!M64,0,-'Dashboard and Input Variables'!$B$34,1,1),0)</f>
        <v>4.6885761679903482</v>
      </c>
      <c r="N51" s="62">
        <f ca="1">M51+M64-IF(N$2-1&gt;='Dashboard and Input Variables'!$B$34,OFFSET('Cumulative 40yr Model'!N64,0,-'Dashboard and Input Variables'!$B$34,1,1),0)</f>
        <v>5.4319543942372839</v>
      </c>
      <c r="O51" s="62">
        <f ca="1">N51+N64-IF(O$2-1&gt;='Dashboard and Input Variables'!$B$34,OFFSET('Cumulative 40yr Model'!O64,0,-'Dashboard and Input Variables'!$B$34,1,1),0)</f>
        <v>6.1717616388803158</v>
      </c>
      <c r="P51" s="62">
        <f ca="1">O51+O64-IF(P$2-1&gt;='Dashboard and Input Variables'!$B$34,OFFSET('Cumulative 40yr Model'!P64,0,-'Dashboard and Input Variables'!$B$34,1,1),0)</f>
        <v>6.9081405305987218</v>
      </c>
      <c r="Q51" s="62">
        <f ca="1">P51+P64-IF(Q$2-1&gt;='Dashboard and Input Variables'!$B$34,OFFSET('Cumulative 40yr Model'!Q64,0,-'Dashboard and Input Variables'!$B$34,1,1),0)</f>
        <v>7.641231949127512</v>
      </c>
      <c r="R51" s="62">
        <f ca="1">Q51+Q64-IF(R$2-1&gt;='Dashboard and Input Variables'!$B$34,OFFSET('Cumulative 40yr Model'!R64,0,-'Dashboard and Input Variables'!$B$34,1,1),0)</f>
        <v>8.3711753832937728</v>
      </c>
      <c r="S51" s="62">
        <f ca="1">R51+R64-IF(S$2-1&gt;='Dashboard and Input Variables'!$B$34,OFFSET('Cumulative 40yr Model'!S64,0,-'Dashboard and Input Variables'!$B$34,1,1),0)</f>
        <v>9.0981089234212895</v>
      </c>
      <c r="T51" s="62">
        <f ca="1">S51+S64-IF(T$2-1&gt;='Dashboard and Input Variables'!$B$34,OFFSET('Cumulative 40yr Model'!T64,0,-'Dashboard and Input Variables'!$B$34,1,1),0)</f>
        <v>9.8221692972387711</v>
      </c>
      <c r="U51" s="62">
        <f ca="1">T51+T64-IF(U$2-1&gt;='Dashboard and Input Variables'!$B$34,OFFSET('Cumulative 40yr Model'!U64,0,-'Dashboard and Input Variables'!$B$34,1,1),0)</f>
        <v>10.543491900085266</v>
      </c>
      <c r="V51" s="62">
        <f ca="1">U51+U64-IF(V$2-1&gt;='Dashboard and Input Variables'!$B$34,OFFSET('Cumulative 40yr Model'!V64,0,-'Dashboard and Input Variables'!$B$34,1,1),0)</f>
        <v>11.262210825340436</v>
      </c>
      <c r="W51" s="62">
        <f ca="1">V51+V64-IF(W$2-1&gt;='Dashboard and Input Variables'!$B$34,OFFSET('Cumulative 40yr Model'!W64,0,-'Dashboard and Input Variables'!$B$34,1,1),0)</f>
        <v>11.978458894375029</v>
      </c>
      <c r="X51" s="62">
        <f ca="1">W51+W64-IF(X$2-1&gt;='Dashboard and Input Variables'!$B$34,OFFSET('Cumulative 40yr Model'!X64,0,-'Dashboard and Input Variables'!$B$34,1,1),0)</f>
        <v>12.692367686114698</v>
      </c>
      <c r="Y51" s="62">
        <f ca="1">X51+X64-IF(Y$2-1&gt;='Dashboard and Input Variables'!$B$34,OFFSET('Cumulative 40yr Model'!Y64,0,-'Dashboard and Input Variables'!$B$34,1,1),0)</f>
        <v>13.404067566214103</v>
      </c>
      <c r="Z51" s="62">
        <f ca="1">Y51+Y64-IF(Z$2-1&gt;='Dashboard and Input Variables'!$B$34,OFFSET('Cumulative 40yr Model'!Z64,0,-'Dashboard and Input Variables'!$B$34,1,1),0)</f>
        <v>13.239509938071929</v>
      </c>
      <c r="AA51" s="62">
        <f ca="1">Z51+Z64-IF(AA$2-1&gt;='Dashboard and Input Variables'!$B$34,OFFSET('Cumulative 40yr Model'!AA64,0,-'Dashboard and Input Variables'!$B$34,1,1),0)</f>
        <v>13.211574533946559</v>
      </c>
      <c r="AB51" s="62">
        <f ca="1">AA51+AA64-IF(AB$2-1&gt;='Dashboard and Input Variables'!$B$34,OFFSET('Cumulative 40yr Model'!AB64,0,-'Dashboard and Input Variables'!$B$34,1,1),0)</f>
        <v>13.19746677429711</v>
      </c>
      <c r="AC51" s="62">
        <f ca="1">AB51+AB64-IF(AC$2-1&gt;='Dashboard and Input Variables'!$B$34,OFFSET('Cumulative 40yr Model'!AC64,0,-'Dashboard and Input Variables'!$B$34,1,1),0)</f>
        <v>13.273844644154591</v>
      </c>
      <c r="AD51" s="62">
        <f ca="1">AC51+AC64-IF(AD$2-1&gt;='Dashboard and Input Variables'!$B$34,OFFSET('Cumulative 40yr Model'!AD64,0,-'Dashboard and Input Variables'!$B$34,1,1),0)</f>
        <v>13.344219359999164</v>
      </c>
      <c r="AE51" s="62">
        <f ca="1">AD51+AD64-IF(AE$2-1&gt;='Dashboard and Input Variables'!$B$34,OFFSET('Cumulative 40yr Model'!AE64,0,-'Dashboard and Input Variables'!$B$34,1,1),0)</f>
        <v>13.430391254364114</v>
      </c>
      <c r="AF51" s="62">
        <f ca="1">AE51+AE64-IF(AF$2-1&gt;='Dashboard and Input Variables'!$B$34,OFFSET('Cumulative 40yr Model'!AF64,0,-'Dashboard and Input Variables'!$B$34,1,1),0)</f>
        <v>13.52821593365346</v>
      </c>
      <c r="AG51" s="62">
        <f ca="1">AF51+AF64-IF(AG$2-1&gt;='Dashboard and Input Variables'!$B$34,OFFSET('Cumulative 40yr Model'!AG64,0,-'Dashboard and Input Variables'!$B$34,1,1),0)</f>
        <v>13.638087005343946</v>
      </c>
      <c r="AH51" s="62">
        <f ca="1">AG51+AG64-IF(AH$2-1&gt;='Dashboard and Input Variables'!$B$34,OFFSET('Cumulative 40yr Model'!AH64,0,-'Dashboard and Input Variables'!$B$34,1,1),0)</f>
        <v>13.759689398751997</v>
      </c>
      <c r="AI51" s="62">
        <f ca="1">AH51+AH64-IF(AI$2-1&gt;='Dashboard and Input Variables'!$B$34,OFFSET('Cumulative 40yr Model'!AI64,0,-'Dashboard and Input Variables'!$B$34,1,1),0)</f>
        <v>13.892820388051806</v>
      </c>
      <c r="AJ51" s="62">
        <f ca="1">AI51+AI64-IF(AJ$2-1&gt;='Dashboard and Input Variables'!$B$34,OFFSET('Cumulative 40yr Model'!AJ64,0,-'Dashboard and Input Variables'!$B$34,1,1),0)</f>
        <v>14.037267842303674</v>
      </c>
      <c r="AK51" s="62">
        <f ca="1">AJ51+AJ64-IF(AK$2-1&gt;='Dashboard and Input Variables'!$B$34,OFFSET('Cumulative 40yr Model'!AK64,0,-'Dashboard and Input Variables'!$B$34,1,1),0)</f>
        <v>14.192827493241467</v>
      </c>
      <c r="AL51" s="62">
        <f ca="1">AK51+AK64-IF(AL$2-1&gt;='Dashboard and Input Variables'!$B$34,OFFSET('Cumulative 40yr Model'!AL64,0,-'Dashboard and Input Variables'!$B$34,1,1),0)</f>
        <v>14.359300402710394</v>
      </c>
      <c r="AM51" s="62">
        <f ca="1">AL51+AL64-IF(AM$2-1&gt;='Dashboard and Input Variables'!$B$34,OFFSET('Cumulative 40yr Model'!AM64,0,-'Dashboard and Input Variables'!$B$34,1,1),0)</f>
        <v>14.536493185013748</v>
      </c>
      <c r="AN51" s="62">
        <f ca="1">AM51+AM64-IF(AN$2-1&gt;='Dashboard and Input Variables'!$B$34,OFFSET('Cumulative 40yr Model'!AN64,0,-'Dashboard and Input Variables'!$B$34,1,1),0)</f>
        <v>14.724217855815317</v>
      </c>
      <c r="AO51" s="62">
        <f ca="1">AN51+AN64-IF(AO$2-1&gt;='Dashboard and Input Variables'!$B$34,OFFSET('Cumulative 40yr Model'!AO64,0,-'Dashboard and Input Variables'!$B$34,1,1),0)</f>
        <v>14.922291733796458</v>
      </c>
      <c r="AP51" s="62">
        <f ca="1">AO51+AO64-IF(AP$2-1&gt;='Dashboard and Input Variables'!$B$34,OFFSET('Cumulative 40yr Model'!AP64,0,-'Dashboard and Input Variables'!$B$34,1,1),0)</f>
        <v>15.130537337746956</v>
      </c>
      <c r="AQ51" s="62">
        <f ca="1">AP51+AP64-IF(AQ$2-1&gt;='Dashboard and Input Variables'!$B$34,OFFSET('Cumulative 40yr Model'!AQ64,0,-'Dashboard and Input Variables'!$B$34,1,1),0)</f>
        <v>15.348782286661871</v>
      </c>
      <c r="AR51" s="63">
        <f ca="1">AQ51+AQ64-IF(AR$2-1&gt;='Dashboard and Input Variables'!$B$34,OFFSET('Cumulative 40yr Model'!AR64,0,-'Dashboard and Input Variables'!$B$34,1,1),0)</f>
        <v>15.57685920180178</v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</row>
    <row r="52" spans="1:60" x14ac:dyDescent="0.25">
      <c r="A52" s="9">
        <f>'Grid Sizes, Locations, and GHGs'!D10</f>
        <v>2800</v>
      </c>
      <c r="B52" s="9"/>
      <c r="C52" s="61" t="str">
        <f>'Grid Sizes, Locations, and GHGs'!A10</f>
        <v>California</v>
      </c>
      <c r="D52" s="9">
        <v>0</v>
      </c>
      <c r="E52" s="9">
        <v>0</v>
      </c>
      <c r="F52" s="62">
        <f ca="1">E52+E65-IF(F$2-1&gt;='Dashboard and Input Variables'!$B$34,OFFSET('Cumulative 40yr Model'!F65,0,-'Dashboard and Input Variables'!$B$34,1,1),0)</f>
        <v>0</v>
      </c>
      <c r="G52" s="62">
        <f ca="1">F52+F65-IF(G$2-1&gt;='Dashboard and Input Variables'!$B$34,OFFSET('Cumulative 40yr Model'!G65,0,-'Dashboard and Input Variables'!$B$34,1,1),0)</f>
        <v>0</v>
      </c>
      <c r="H52" s="62">
        <f ca="1">G52+G65-IF(H$2-1&gt;='Dashboard and Input Variables'!$B$34,OFFSET('Cumulative 40yr Model'!H65,0,-'Dashboard and Input Variables'!$B$34,1,1),0)</f>
        <v>0</v>
      </c>
      <c r="I52" s="62">
        <f ca="1">H52+H65-IF(I$2-1&gt;='Dashboard and Input Variables'!$B$34,OFFSET('Cumulative 40yr Model'!I65,0,-'Dashboard and Input Variables'!$B$34,1,1),0)</f>
        <v>0</v>
      </c>
      <c r="J52" s="62">
        <f ca="1">I52+I65-IF(J$2-1&gt;='Dashboard and Input Variables'!$B$34,OFFSET('Cumulative 40yr Model'!J65,0,-'Dashboard and Input Variables'!$B$34,1,1),0)</f>
        <v>0</v>
      </c>
      <c r="K52" s="62">
        <f ca="1">J52+J65-IF(K$2-1&gt;='Dashboard and Input Variables'!$B$34,OFFSET('Cumulative 40yr Model'!K65,0,-'Dashboard and Input Variables'!$B$34,1,1),0)</f>
        <v>0</v>
      </c>
      <c r="L52" s="62">
        <f ca="1">K52+K65-IF(L$2-1&gt;='Dashboard and Input Variables'!$B$34,OFFSET('Cumulative 40yr Model'!L65,0,-'Dashboard and Input Variables'!$B$34,1,1),0)</f>
        <v>0</v>
      </c>
      <c r="M52" s="62">
        <f ca="1">L52+L65-IF(M$2-1&gt;='Dashboard and Input Variables'!$B$34,OFFSET('Cumulative 40yr Model'!M65,0,-'Dashboard and Input Variables'!$B$34,1,1),0)</f>
        <v>-8.8817841970012523E-16</v>
      </c>
      <c r="N52" s="62">
        <f ca="1">M52+M65-IF(N$2-1&gt;='Dashboard and Input Variables'!$B$34,OFFSET('Cumulative 40yr Model'!N65,0,-'Dashboard and Input Variables'!$B$34,1,1),0)</f>
        <v>0</v>
      </c>
      <c r="O52" s="62">
        <f ca="1">N52+N65-IF(O$2-1&gt;='Dashboard and Input Variables'!$B$34,OFFSET('Cumulative 40yr Model'!O65,0,-'Dashboard and Input Variables'!$B$34,1,1),0)</f>
        <v>-8.8817841970012523E-16</v>
      </c>
      <c r="P52" s="62">
        <f ca="1">O52+O65-IF(P$2-1&gt;='Dashboard and Input Variables'!$B$34,OFFSET('Cumulative 40yr Model'!P65,0,-'Dashboard and Input Variables'!$B$34,1,1),0)</f>
        <v>0</v>
      </c>
      <c r="Q52" s="62">
        <f ca="1">P52+P65-IF(Q$2-1&gt;='Dashboard and Input Variables'!$B$34,OFFSET('Cumulative 40yr Model'!Q65,0,-'Dashboard and Input Variables'!$B$34,1,1),0)</f>
        <v>0</v>
      </c>
      <c r="R52" s="62">
        <f ca="1">Q52+Q65-IF(R$2-1&gt;='Dashboard and Input Variables'!$B$34,OFFSET('Cumulative 40yr Model'!R65,0,-'Dashboard and Input Variables'!$B$34,1,1),0)</f>
        <v>0</v>
      </c>
      <c r="S52" s="62">
        <f ca="1">R52+R65-IF(S$2-1&gt;='Dashboard and Input Variables'!$B$34,OFFSET('Cumulative 40yr Model'!S65,0,-'Dashboard and Input Variables'!$B$34,1,1),0)</f>
        <v>0</v>
      </c>
      <c r="T52" s="62">
        <f ca="1">S52+S65-IF(T$2-1&gt;='Dashboard and Input Variables'!$B$34,OFFSET('Cumulative 40yr Model'!T65,0,-'Dashboard and Input Variables'!$B$34,1,1),0)</f>
        <v>0</v>
      </c>
      <c r="U52" s="62">
        <f ca="1">T52+T65-IF(U$2-1&gt;='Dashboard and Input Variables'!$B$34,OFFSET('Cumulative 40yr Model'!U65,0,-'Dashboard and Input Variables'!$B$34,1,1),0)</f>
        <v>0</v>
      </c>
      <c r="V52" s="62">
        <f ca="1">U52+U65-IF(V$2-1&gt;='Dashboard and Input Variables'!$B$34,OFFSET('Cumulative 40yr Model'!V65,0,-'Dashboard and Input Variables'!$B$34,1,1),0)</f>
        <v>0</v>
      </c>
      <c r="W52" s="62">
        <f ca="1">V52+V65-IF(W$2-1&gt;='Dashboard and Input Variables'!$B$34,OFFSET('Cumulative 40yr Model'!W65,0,-'Dashboard and Input Variables'!$B$34,1,1),0)</f>
        <v>0</v>
      </c>
      <c r="X52" s="62">
        <f ca="1">W52+W65-IF(X$2-1&gt;='Dashboard and Input Variables'!$B$34,OFFSET('Cumulative 40yr Model'!X65,0,-'Dashboard and Input Variables'!$B$34,1,1),0)</f>
        <v>0</v>
      </c>
      <c r="Y52" s="62">
        <f ca="1">X52+X65-IF(Y$2-1&gt;='Dashboard and Input Variables'!$B$34,OFFSET('Cumulative 40yr Model'!Y65,0,-'Dashboard and Input Variables'!$B$34,1,1),0)</f>
        <v>0</v>
      </c>
      <c r="Z52" s="62">
        <f ca="1">Y52+Y65-IF(Z$2-1&gt;='Dashboard and Input Variables'!$B$34,OFFSET('Cumulative 40yr Model'!Z65,0,-'Dashboard and Input Variables'!$B$34,1,1),0)</f>
        <v>0</v>
      </c>
      <c r="AA52" s="62">
        <f ca="1">Z52+Z65-IF(AA$2-1&gt;='Dashboard and Input Variables'!$B$34,OFFSET('Cumulative 40yr Model'!AA65,0,-'Dashboard and Input Variables'!$B$34,1,1),0)</f>
        <v>0</v>
      </c>
      <c r="AB52" s="62">
        <f ca="1">AA52+AA65-IF(AB$2-1&gt;='Dashboard and Input Variables'!$B$34,OFFSET('Cumulative 40yr Model'!AB65,0,-'Dashboard and Input Variables'!$B$34,1,1),0)</f>
        <v>0</v>
      </c>
      <c r="AC52" s="62">
        <f ca="1">AB52+AB65-IF(AC$2-1&gt;='Dashboard and Input Variables'!$B$34,OFFSET('Cumulative 40yr Model'!AC65,0,-'Dashboard and Input Variables'!$B$34,1,1),0)</f>
        <v>0</v>
      </c>
      <c r="AD52" s="62">
        <f ca="1">AC52+AC65-IF(AD$2-1&gt;='Dashboard and Input Variables'!$B$34,OFFSET('Cumulative 40yr Model'!AD65,0,-'Dashboard and Input Variables'!$B$34,1,1),0)</f>
        <v>0</v>
      </c>
      <c r="AE52" s="62">
        <f ca="1">AD52+AD65-IF(AE$2-1&gt;='Dashboard and Input Variables'!$B$34,OFFSET('Cumulative 40yr Model'!AE65,0,-'Dashboard and Input Variables'!$B$34,1,1),0)</f>
        <v>0</v>
      </c>
      <c r="AF52" s="62">
        <f ca="1">AE52+AE65-IF(AF$2-1&gt;='Dashboard and Input Variables'!$B$34,OFFSET('Cumulative 40yr Model'!AF65,0,-'Dashboard and Input Variables'!$B$34,1,1),0)</f>
        <v>0</v>
      </c>
      <c r="AG52" s="62">
        <f ca="1">AF52+AF65-IF(AG$2-1&gt;='Dashboard and Input Variables'!$B$34,OFFSET('Cumulative 40yr Model'!AG65,0,-'Dashboard and Input Variables'!$B$34,1,1),0)</f>
        <v>0</v>
      </c>
      <c r="AH52" s="62">
        <f ca="1">AG52+AG65-IF(AH$2-1&gt;='Dashboard and Input Variables'!$B$34,OFFSET('Cumulative 40yr Model'!AH65,0,-'Dashboard and Input Variables'!$B$34,1,1),0)</f>
        <v>0</v>
      </c>
      <c r="AI52" s="62">
        <f ca="1">AH52+AH65-IF(AI$2-1&gt;='Dashboard and Input Variables'!$B$34,OFFSET('Cumulative 40yr Model'!AI65,0,-'Dashboard and Input Variables'!$B$34,1,1),0)</f>
        <v>0</v>
      </c>
      <c r="AJ52" s="62">
        <f ca="1">AI52+AI65-IF(AJ$2-1&gt;='Dashboard and Input Variables'!$B$34,OFFSET('Cumulative 40yr Model'!AJ65,0,-'Dashboard and Input Variables'!$B$34,1,1),0)</f>
        <v>0</v>
      </c>
      <c r="AK52" s="62">
        <f ca="1">AJ52+AJ65-IF(AK$2-1&gt;='Dashboard and Input Variables'!$B$34,OFFSET('Cumulative 40yr Model'!AK65,0,-'Dashboard and Input Variables'!$B$34,1,1),0)</f>
        <v>0</v>
      </c>
      <c r="AL52" s="62">
        <f ca="1">AK52+AK65-IF(AL$2-1&gt;='Dashboard and Input Variables'!$B$34,OFFSET('Cumulative 40yr Model'!AL65,0,-'Dashboard and Input Variables'!$B$34,1,1),0)</f>
        <v>0</v>
      </c>
      <c r="AM52" s="62">
        <f ca="1">AL52+AL65-IF(AM$2-1&gt;='Dashboard and Input Variables'!$B$34,OFFSET('Cumulative 40yr Model'!AM65,0,-'Dashboard and Input Variables'!$B$34,1,1),0)</f>
        <v>0</v>
      </c>
      <c r="AN52" s="62">
        <f ca="1">AM52+AM65-IF(AN$2-1&gt;='Dashboard and Input Variables'!$B$34,OFFSET('Cumulative 40yr Model'!AN65,0,-'Dashboard and Input Variables'!$B$34,1,1),0)</f>
        <v>0</v>
      </c>
      <c r="AO52" s="62">
        <f ca="1">AN52+AN65-IF(AO$2-1&gt;='Dashboard and Input Variables'!$B$34,OFFSET('Cumulative 40yr Model'!AO65,0,-'Dashboard and Input Variables'!$B$34,1,1),0)</f>
        <v>0</v>
      </c>
      <c r="AP52" s="62">
        <f ca="1">AO52+AO65-IF(AP$2-1&gt;='Dashboard and Input Variables'!$B$34,OFFSET('Cumulative 40yr Model'!AP65,0,-'Dashboard and Input Variables'!$B$34,1,1),0)</f>
        <v>0</v>
      </c>
      <c r="AQ52" s="62">
        <f ca="1">AP52+AP65-IF(AQ$2-1&gt;='Dashboard and Input Variables'!$B$34,OFFSET('Cumulative 40yr Model'!AQ65,0,-'Dashboard and Input Variables'!$B$34,1,1),0)</f>
        <v>0</v>
      </c>
      <c r="AR52" s="63">
        <f ca="1">AQ52+AQ65-IF(AR$2-1&gt;='Dashboard and Input Variables'!$B$34,OFFSET('Cumulative 40yr Model'!AR65,0,-'Dashboard and Input Variables'!$B$34,1,1),0)</f>
        <v>0</v>
      </c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</row>
    <row r="53" spans="1:60" x14ac:dyDescent="0.25">
      <c r="A53" s="9">
        <f>'Grid Sizes, Locations, and GHGs'!D11</f>
        <v>4000</v>
      </c>
      <c r="B53" s="9"/>
      <c r="C53" s="61" t="str">
        <f>'Grid Sizes, Locations, and GHGs'!A11</f>
        <v>Canada (excluding Alberta)</v>
      </c>
      <c r="D53" s="9">
        <v>0</v>
      </c>
      <c r="E53" s="9">
        <v>0</v>
      </c>
      <c r="F53" s="62">
        <f ca="1">E53+E66-IF(F$2-1&gt;='Dashboard and Input Variables'!$B$34,OFFSET('Cumulative 40yr Model'!F66,0,-'Dashboard and Input Variables'!$B$34,1,1),0)</f>
        <v>0</v>
      </c>
      <c r="G53" s="62">
        <f ca="1">F53+F66-IF(G$2-1&gt;='Dashboard and Input Variables'!$B$34,OFFSET('Cumulative 40yr Model'!G66,0,-'Dashboard and Input Variables'!$B$34,1,1),0)</f>
        <v>0</v>
      </c>
      <c r="H53" s="62">
        <f ca="1">G53+G66-IF(H$2-1&gt;='Dashboard and Input Variables'!$B$34,OFFSET('Cumulative 40yr Model'!H66,0,-'Dashboard and Input Variables'!$B$34,1,1),0)</f>
        <v>0</v>
      </c>
      <c r="I53" s="62">
        <f ca="1">H53+H66-IF(I$2-1&gt;='Dashboard and Input Variables'!$B$34,OFFSET('Cumulative 40yr Model'!I66,0,-'Dashboard and Input Variables'!$B$34,1,1),0)</f>
        <v>0</v>
      </c>
      <c r="J53" s="62">
        <f ca="1">I53+I66-IF(J$2-1&gt;='Dashboard and Input Variables'!$B$34,OFFSET('Cumulative 40yr Model'!J66,0,-'Dashboard and Input Variables'!$B$34,1,1),0)</f>
        <v>0</v>
      </c>
      <c r="K53" s="62">
        <f ca="1">J53+J66-IF(K$2-1&gt;='Dashboard and Input Variables'!$B$34,OFFSET('Cumulative 40yr Model'!K66,0,-'Dashboard and Input Variables'!$B$34,1,1),0)</f>
        <v>0</v>
      </c>
      <c r="L53" s="62">
        <f ca="1">K53+K66-IF(L$2-1&gt;='Dashboard and Input Variables'!$B$34,OFFSET('Cumulative 40yr Model'!L66,0,-'Dashboard and Input Variables'!$B$34,1,1),0)</f>
        <v>0</v>
      </c>
      <c r="M53" s="62">
        <f ca="1">L53+L66-IF(M$2-1&gt;='Dashboard and Input Variables'!$B$34,OFFSET('Cumulative 40yr Model'!M66,0,-'Dashboard and Input Variables'!$B$34,1,1),0)</f>
        <v>0</v>
      </c>
      <c r="N53" s="62">
        <f ca="1">M53+M66-IF(N$2-1&gt;='Dashboard and Input Variables'!$B$34,OFFSET('Cumulative 40yr Model'!N66,0,-'Dashboard and Input Variables'!$B$34,1,1),0)</f>
        <v>0</v>
      </c>
      <c r="O53" s="62">
        <f ca="1">N53+N66-IF(O$2-1&gt;='Dashboard and Input Variables'!$B$34,OFFSET('Cumulative 40yr Model'!O66,0,-'Dashboard and Input Variables'!$B$34,1,1),0)</f>
        <v>0</v>
      </c>
      <c r="P53" s="62">
        <f ca="1">O53+O66-IF(P$2-1&gt;='Dashboard and Input Variables'!$B$34,OFFSET('Cumulative 40yr Model'!P66,0,-'Dashboard and Input Variables'!$B$34,1,1),0)</f>
        <v>0</v>
      </c>
      <c r="Q53" s="62">
        <f ca="1">P53+P66-IF(Q$2-1&gt;='Dashboard and Input Variables'!$B$34,OFFSET('Cumulative 40yr Model'!Q66,0,-'Dashboard and Input Variables'!$B$34,1,1),0)</f>
        <v>0</v>
      </c>
      <c r="R53" s="62">
        <f ca="1">Q53+Q66-IF(R$2-1&gt;='Dashboard and Input Variables'!$B$34,OFFSET('Cumulative 40yr Model'!R66,0,-'Dashboard and Input Variables'!$B$34,1,1),0)</f>
        <v>0</v>
      </c>
      <c r="S53" s="62">
        <f ca="1">R53+R66-IF(S$2-1&gt;='Dashboard and Input Variables'!$B$34,OFFSET('Cumulative 40yr Model'!S66,0,-'Dashboard and Input Variables'!$B$34,1,1),0)</f>
        <v>0</v>
      </c>
      <c r="T53" s="62">
        <f ca="1">S53+S66-IF(T$2-1&gt;='Dashboard and Input Variables'!$B$34,OFFSET('Cumulative 40yr Model'!T66,0,-'Dashboard and Input Variables'!$B$34,1,1),0)</f>
        <v>0</v>
      </c>
      <c r="U53" s="62">
        <f ca="1">T53+T66-IF(U$2-1&gt;='Dashboard and Input Variables'!$B$34,OFFSET('Cumulative 40yr Model'!U66,0,-'Dashboard and Input Variables'!$B$34,1,1),0)</f>
        <v>0</v>
      </c>
      <c r="V53" s="62">
        <f ca="1">U53+U66-IF(V$2-1&gt;='Dashboard and Input Variables'!$B$34,OFFSET('Cumulative 40yr Model'!V66,0,-'Dashboard and Input Variables'!$B$34,1,1),0)</f>
        <v>0</v>
      </c>
      <c r="W53" s="62">
        <f ca="1">V53+V66-IF(W$2-1&gt;='Dashboard and Input Variables'!$B$34,OFFSET('Cumulative 40yr Model'!W66,0,-'Dashboard and Input Variables'!$B$34,1,1),0)</f>
        <v>0</v>
      </c>
      <c r="X53" s="62">
        <f ca="1">W53+W66-IF(X$2-1&gt;='Dashboard and Input Variables'!$B$34,OFFSET('Cumulative 40yr Model'!X66,0,-'Dashboard and Input Variables'!$B$34,1,1),0)</f>
        <v>0</v>
      </c>
      <c r="Y53" s="62">
        <f ca="1">X53+X66-IF(Y$2-1&gt;='Dashboard and Input Variables'!$B$34,OFFSET('Cumulative 40yr Model'!Y66,0,-'Dashboard and Input Variables'!$B$34,1,1),0)</f>
        <v>0</v>
      </c>
      <c r="Z53" s="62">
        <f ca="1">Y53+Y66-IF(Z$2-1&gt;='Dashboard and Input Variables'!$B$34,OFFSET('Cumulative 40yr Model'!Z66,0,-'Dashboard and Input Variables'!$B$34,1,1),0)</f>
        <v>0</v>
      </c>
      <c r="AA53" s="62">
        <f ca="1">Z53+Z66-IF(AA$2-1&gt;='Dashboard and Input Variables'!$B$34,OFFSET('Cumulative 40yr Model'!AA66,0,-'Dashboard and Input Variables'!$B$34,1,1),0)</f>
        <v>0</v>
      </c>
      <c r="AB53" s="62">
        <f ca="1">AA53+AA66-IF(AB$2-1&gt;='Dashboard and Input Variables'!$B$34,OFFSET('Cumulative 40yr Model'!AB66,0,-'Dashboard and Input Variables'!$B$34,1,1),0)</f>
        <v>0</v>
      </c>
      <c r="AC53" s="62">
        <f ca="1">AB53+AB66-IF(AC$2-1&gt;='Dashboard and Input Variables'!$B$34,OFFSET('Cumulative 40yr Model'!AC66,0,-'Dashboard and Input Variables'!$B$34,1,1),0)</f>
        <v>0</v>
      </c>
      <c r="AD53" s="62">
        <f ca="1">AC53+AC66-IF(AD$2-1&gt;='Dashboard and Input Variables'!$B$34,OFFSET('Cumulative 40yr Model'!AD66,0,-'Dashboard and Input Variables'!$B$34,1,1),0)</f>
        <v>0</v>
      </c>
      <c r="AE53" s="62">
        <f ca="1">AD53+AD66-IF(AE$2-1&gt;='Dashboard and Input Variables'!$B$34,OFFSET('Cumulative 40yr Model'!AE66,0,-'Dashboard and Input Variables'!$B$34,1,1),0)</f>
        <v>0</v>
      </c>
      <c r="AF53" s="62">
        <f ca="1">AE53+AE66-IF(AF$2-1&gt;='Dashboard and Input Variables'!$B$34,OFFSET('Cumulative 40yr Model'!AF66,0,-'Dashboard and Input Variables'!$B$34,1,1),0)</f>
        <v>0</v>
      </c>
      <c r="AG53" s="62">
        <f ca="1">AF53+AF66-IF(AG$2-1&gt;='Dashboard and Input Variables'!$B$34,OFFSET('Cumulative 40yr Model'!AG66,0,-'Dashboard and Input Variables'!$B$34,1,1),0)</f>
        <v>0</v>
      </c>
      <c r="AH53" s="62">
        <f ca="1">AG53+AG66-IF(AH$2-1&gt;='Dashboard and Input Variables'!$B$34,OFFSET('Cumulative 40yr Model'!AH66,0,-'Dashboard and Input Variables'!$B$34,1,1),0)</f>
        <v>0</v>
      </c>
      <c r="AI53" s="62">
        <f ca="1">AH53+AH66-IF(AI$2-1&gt;='Dashboard and Input Variables'!$B$34,OFFSET('Cumulative 40yr Model'!AI66,0,-'Dashboard and Input Variables'!$B$34,1,1),0)</f>
        <v>0</v>
      </c>
      <c r="AJ53" s="62">
        <f ca="1">AI53+AI66-IF(AJ$2-1&gt;='Dashboard and Input Variables'!$B$34,OFFSET('Cumulative 40yr Model'!AJ66,0,-'Dashboard and Input Variables'!$B$34,1,1),0)</f>
        <v>0</v>
      </c>
      <c r="AK53" s="62">
        <f ca="1">AJ53+AJ66-IF(AK$2-1&gt;='Dashboard and Input Variables'!$B$34,OFFSET('Cumulative 40yr Model'!AK66,0,-'Dashboard and Input Variables'!$B$34,1,1),0)</f>
        <v>0</v>
      </c>
      <c r="AL53" s="62">
        <f ca="1">AK53+AK66-IF(AL$2-1&gt;='Dashboard and Input Variables'!$B$34,OFFSET('Cumulative 40yr Model'!AL66,0,-'Dashboard and Input Variables'!$B$34,1,1),0)</f>
        <v>0</v>
      </c>
      <c r="AM53" s="62">
        <f ca="1">AL53+AL66-IF(AM$2-1&gt;='Dashboard and Input Variables'!$B$34,OFFSET('Cumulative 40yr Model'!AM66,0,-'Dashboard and Input Variables'!$B$34,1,1),0)</f>
        <v>0</v>
      </c>
      <c r="AN53" s="62">
        <f ca="1">AM53+AM66-IF(AN$2-1&gt;='Dashboard and Input Variables'!$B$34,OFFSET('Cumulative 40yr Model'!AN66,0,-'Dashboard and Input Variables'!$B$34,1,1),0)</f>
        <v>0</v>
      </c>
      <c r="AO53" s="62">
        <f ca="1">AN53+AN66-IF(AO$2-1&gt;='Dashboard and Input Variables'!$B$34,OFFSET('Cumulative 40yr Model'!AO66,0,-'Dashboard and Input Variables'!$B$34,1,1),0)</f>
        <v>0</v>
      </c>
      <c r="AP53" s="62">
        <f ca="1">AO53+AO66-IF(AP$2-1&gt;='Dashboard and Input Variables'!$B$34,OFFSET('Cumulative 40yr Model'!AP66,0,-'Dashboard and Input Variables'!$B$34,1,1),0)</f>
        <v>0</v>
      </c>
      <c r="AQ53" s="62">
        <f ca="1">AP53+AP66-IF(AQ$2-1&gt;='Dashboard and Input Variables'!$B$34,OFFSET('Cumulative 40yr Model'!AQ66,0,-'Dashboard and Input Variables'!$B$34,1,1),0)</f>
        <v>0</v>
      </c>
      <c r="AR53" s="63">
        <f ca="1">AQ53+AQ66-IF(AR$2-1&gt;='Dashboard and Input Variables'!$B$34,OFFSET('Cumulative 40yr Model'!AR66,0,-'Dashboard and Input Variables'!$B$34,1,1),0)</f>
        <v>0</v>
      </c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</row>
    <row r="54" spans="1:60" x14ac:dyDescent="0.25">
      <c r="A54" s="9">
        <f>'Grid Sizes, Locations, and GHGs'!D12</f>
        <v>0</v>
      </c>
      <c r="B54" s="9"/>
      <c r="C54" s="61" t="str">
        <f>'Grid Sizes, Locations, and GHGs'!A12</f>
        <v>unused</v>
      </c>
      <c r="D54" s="9">
        <v>0</v>
      </c>
      <c r="E54" s="9">
        <v>0</v>
      </c>
      <c r="F54" s="62">
        <f ca="1">E54+E67-IF(F$2-1&gt;='Dashboard and Input Variables'!$B$34,OFFSET('Cumulative 40yr Model'!F67,0,-'Dashboard and Input Variables'!$B$34,1,1),0)</f>
        <v>0</v>
      </c>
      <c r="G54" s="62">
        <f ca="1">F54+F67-IF(G$2-1&gt;='Dashboard and Input Variables'!$B$34,OFFSET('Cumulative 40yr Model'!G67,0,-'Dashboard and Input Variables'!$B$34,1,1),0)</f>
        <v>0</v>
      </c>
      <c r="H54" s="62">
        <f ca="1">G54+G67-IF(H$2-1&gt;='Dashboard and Input Variables'!$B$34,OFFSET('Cumulative 40yr Model'!H67,0,-'Dashboard and Input Variables'!$B$34,1,1),0)</f>
        <v>0</v>
      </c>
      <c r="I54" s="62">
        <f ca="1">H54+H67-IF(I$2-1&gt;='Dashboard and Input Variables'!$B$34,OFFSET('Cumulative 40yr Model'!I67,0,-'Dashboard and Input Variables'!$B$34,1,1),0)</f>
        <v>0</v>
      </c>
      <c r="J54" s="62">
        <f ca="1">I54+I67-IF(J$2-1&gt;='Dashboard and Input Variables'!$B$34,OFFSET('Cumulative 40yr Model'!J67,0,-'Dashboard and Input Variables'!$B$34,1,1),0)</f>
        <v>0</v>
      </c>
      <c r="K54" s="62">
        <f ca="1">J54+J67-IF(K$2-1&gt;='Dashboard and Input Variables'!$B$34,OFFSET('Cumulative 40yr Model'!K67,0,-'Dashboard and Input Variables'!$B$34,1,1),0)</f>
        <v>0</v>
      </c>
      <c r="L54" s="62">
        <f ca="1">K54+K67-IF(L$2-1&gt;='Dashboard and Input Variables'!$B$34,OFFSET('Cumulative 40yr Model'!L67,0,-'Dashboard and Input Variables'!$B$34,1,1),0)</f>
        <v>0</v>
      </c>
      <c r="M54" s="62">
        <f ca="1">L54+L67-IF(M$2-1&gt;='Dashboard and Input Variables'!$B$34,OFFSET('Cumulative 40yr Model'!M67,0,-'Dashboard and Input Variables'!$B$34,1,1),0)</f>
        <v>0</v>
      </c>
      <c r="N54" s="62">
        <f ca="1">M54+M67-IF(N$2-1&gt;='Dashboard and Input Variables'!$B$34,OFFSET('Cumulative 40yr Model'!N67,0,-'Dashboard and Input Variables'!$B$34,1,1),0)</f>
        <v>0</v>
      </c>
      <c r="O54" s="62">
        <f ca="1">N54+N67-IF(O$2-1&gt;='Dashboard and Input Variables'!$B$34,OFFSET('Cumulative 40yr Model'!O67,0,-'Dashboard and Input Variables'!$B$34,1,1),0)</f>
        <v>0</v>
      </c>
      <c r="P54" s="62">
        <f ca="1">O54+O67-IF(P$2-1&gt;='Dashboard and Input Variables'!$B$34,OFFSET('Cumulative 40yr Model'!P67,0,-'Dashboard and Input Variables'!$B$34,1,1),0)</f>
        <v>0</v>
      </c>
      <c r="Q54" s="62">
        <f ca="1">P54+P67-IF(Q$2-1&gt;='Dashboard and Input Variables'!$B$34,OFFSET('Cumulative 40yr Model'!Q67,0,-'Dashboard and Input Variables'!$B$34,1,1),0)</f>
        <v>0</v>
      </c>
      <c r="R54" s="62">
        <f ca="1">Q54+Q67-IF(R$2-1&gt;='Dashboard and Input Variables'!$B$34,OFFSET('Cumulative 40yr Model'!R67,0,-'Dashboard and Input Variables'!$B$34,1,1),0)</f>
        <v>0</v>
      </c>
      <c r="S54" s="62">
        <f ca="1">R54+R67-IF(S$2-1&gt;='Dashboard and Input Variables'!$B$34,OFFSET('Cumulative 40yr Model'!S67,0,-'Dashboard and Input Variables'!$B$34,1,1),0)</f>
        <v>0</v>
      </c>
      <c r="T54" s="62">
        <f ca="1">S54+S67-IF(T$2-1&gt;='Dashboard and Input Variables'!$B$34,OFFSET('Cumulative 40yr Model'!T67,0,-'Dashboard and Input Variables'!$B$34,1,1),0)</f>
        <v>0</v>
      </c>
      <c r="U54" s="62">
        <f ca="1">T54+T67-IF(U$2-1&gt;='Dashboard and Input Variables'!$B$34,OFFSET('Cumulative 40yr Model'!U67,0,-'Dashboard and Input Variables'!$B$34,1,1),0)</f>
        <v>0</v>
      </c>
      <c r="V54" s="62">
        <f ca="1">U54+U67-IF(V$2-1&gt;='Dashboard and Input Variables'!$B$34,OFFSET('Cumulative 40yr Model'!V67,0,-'Dashboard and Input Variables'!$B$34,1,1),0)</f>
        <v>0</v>
      </c>
      <c r="W54" s="62">
        <f ca="1">V54+V67-IF(W$2-1&gt;='Dashboard and Input Variables'!$B$34,OFFSET('Cumulative 40yr Model'!W67,0,-'Dashboard and Input Variables'!$B$34,1,1),0)</f>
        <v>0</v>
      </c>
      <c r="X54" s="62">
        <f ca="1">W54+W67-IF(X$2-1&gt;='Dashboard and Input Variables'!$B$34,OFFSET('Cumulative 40yr Model'!X67,0,-'Dashboard and Input Variables'!$B$34,1,1),0)</f>
        <v>0</v>
      </c>
      <c r="Y54" s="62">
        <f ca="1">X54+X67-IF(Y$2-1&gt;='Dashboard and Input Variables'!$B$34,OFFSET('Cumulative 40yr Model'!Y67,0,-'Dashboard and Input Variables'!$B$34,1,1),0)</f>
        <v>0</v>
      </c>
      <c r="Z54" s="62">
        <f ca="1">Y54+Y67-IF(Z$2-1&gt;='Dashboard and Input Variables'!$B$34,OFFSET('Cumulative 40yr Model'!Z67,0,-'Dashboard and Input Variables'!$B$34,1,1),0)</f>
        <v>0</v>
      </c>
      <c r="AA54" s="62">
        <f ca="1">Z54+Z67-IF(AA$2-1&gt;='Dashboard and Input Variables'!$B$34,OFFSET('Cumulative 40yr Model'!AA67,0,-'Dashboard and Input Variables'!$B$34,1,1),0)</f>
        <v>0</v>
      </c>
      <c r="AB54" s="62">
        <f ca="1">AA54+AA67-IF(AB$2-1&gt;='Dashboard and Input Variables'!$B$34,OFFSET('Cumulative 40yr Model'!AB67,0,-'Dashboard and Input Variables'!$B$34,1,1),0)</f>
        <v>0</v>
      </c>
      <c r="AC54" s="62">
        <f ca="1">AB54+AB67-IF(AC$2-1&gt;='Dashboard and Input Variables'!$B$34,OFFSET('Cumulative 40yr Model'!AC67,0,-'Dashboard and Input Variables'!$B$34,1,1),0)</f>
        <v>0</v>
      </c>
      <c r="AD54" s="62">
        <f ca="1">AC54+AC67-IF(AD$2-1&gt;='Dashboard and Input Variables'!$B$34,OFFSET('Cumulative 40yr Model'!AD67,0,-'Dashboard and Input Variables'!$B$34,1,1),0)</f>
        <v>0</v>
      </c>
      <c r="AE54" s="62">
        <f ca="1">AD54+AD67-IF(AE$2-1&gt;='Dashboard and Input Variables'!$B$34,OFFSET('Cumulative 40yr Model'!AE67,0,-'Dashboard and Input Variables'!$B$34,1,1),0)</f>
        <v>0</v>
      </c>
      <c r="AF54" s="62">
        <f ca="1">AE54+AE67-IF(AF$2-1&gt;='Dashboard and Input Variables'!$B$34,OFFSET('Cumulative 40yr Model'!AF67,0,-'Dashboard and Input Variables'!$B$34,1,1),0)</f>
        <v>0</v>
      </c>
      <c r="AG54" s="62">
        <f ca="1">AF54+AF67-IF(AG$2-1&gt;='Dashboard and Input Variables'!$B$34,OFFSET('Cumulative 40yr Model'!AG67,0,-'Dashboard and Input Variables'!$B$34,1,1),0)</f>
        <v>0</v>
      </c>
      <c r="AH54" s="62">
        <f ca="1">AG54+AG67-IF(AH$2-1&gt;='Dashboard and Input Variables'!$B$34,OFFSET('Cumulative 40yr Model'!AH67,0,-'Dashboard and Input Variables'!$B$34,1,1),0)</f>
        <v>0</v>
      </c>
      <c r="AI54" s="62">
        <f ca="1">AH54+AH67-IF(AI$2-1&gt;='Dashboard and Input Variables'!$B$34,OFFSET('Cumulative 40yr Model'!AI67,0,-'Dashboard and Input Variables'!$B$34,1,1),0)</f>
        <v>0</v>
      </c>
      <c r="AJ54" s="62">
        <f ca="1">AI54+AI67-IF(AJ$2-1&gt;='Dashboard and Input Variables'!$B$34,OFFSET('Cumulative 40yr Model'!AJ67,0,-'Dashboard and Input Variables'!$B$34,1,1),0)</f>
        <v>0</v>
      </c>
      <c r="AK54" s="62">
        <f ca="1">AJ54+AJ67-IF(AK$2-1&gt;='Dashboard and Input Variables'!$B$34,OFFSET('Cumulative 40yr Model'!AK67,0,-'Dashboard and Input Variables'!$B$34,1,1),0)</f>
        <v>0</v>
      </c>
      <c r="AL54" s="62">
        <f ca="1">AK54+AK67-IF(AL$2-1&gt;='Dashboard and Input Variables'!$B$34,OFFSET('Cumulative 40yr Model'!AL67,0,-'Dashboard and Input Variables'!$B$34,1,1),0)</f>
        <v>0</v>
      </c>
      <c r="AM54" s="62">
        <f ca="1">AL54+AL67-IF(AM$2-1&gt;='Dashboard and Input Variables'!$B$34,OFFSET('Cumulative 40yr Model'!AM67,0,-'Dashboard and Input Variables'!$B$34,1,1),0)</f>
        <v>0</v>
      </c>
      <c r="AN54" s="62">
        <f ca="1">AM54+AM67-IF(AN$2-1&gt;='Dashboard and Input Variables'!$B$34,OFFSET('Cumulative 40yr Model'!AN67,0,-'Dashboard and Input Variables'!$B$34,1,1),0)</f>
        <v>0</v>
      </c>
      <c r="AO54" s="62">
        <f ca="1">AN54+AN67-IF(AO$2-1&gt;='Dashboard and Input Variables'!$B$34,OFFSET('Cumulative 40yr Model'!AO67,0,-'Dashboard and Input Variables'!$B$34,1,1),0)</f>
        <v>0</v>
      </c>
      <c r="AP54" s="62">
        <f ca="1">AO54+AO67-IF(AP$2-1&gt;='Dashboard and Input Variables'!$B$34,OFFSET('Cumulative 40yr Model'!AP67,0,-'Dashboard and Input Variables'!$B$34,1,1),0)</f>
        <v>0</v>
      </c>
      <c r="AQ54" s="62">
        <f ca="1">AP54+AP67-IF(AQ$2-1&gt;='Dashboard and Input Variables'!$B$34,OFFSET('Cumulative 40yr Model'!AQ67,0,-'Dashboard and Input Variables'!$B$34,1,1),0)</f>
        <v>0</v>
      </c>
      <c r="AR54" s="63">
        <f ca="1">AQ54+AQ67-IF(AR$2-1&gt;='Dashboard and Input Variables'!$B$34,OFFSET('Cumulative 40yr Model'!AR67,0,-'Dashboard and Input Variables'!$B$34,1,1),0)</f>
        <v>0</v>
      </c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</row>
    <row r="55" spans="1:60" x14ac:dyDescent="0.25">
      <c r="A55" s="9">
        <f>'Grid Sizes, Locations, and GHGs'!D13</f>
        <v>0</v>
      </c>
      <c r="B55" s="9"/>
      <c r="C55" s="61" t="str">
        <f>'Grid Sizes, Locations, and GHGs'!A13</f>
        <v>unused</v>
      </c>
      <c r="D55" s="9">
        <v>0</v>
      </c>
      <c r="E55" s="9">
        <v>0</v>
      </c>
      <c r="F55" s="62">
        <f ca="1">E55+E68-IF(F$2-1&gt;='Dashboard and Input Variables'!$B$34,OFFSET('Cumulative 40yr Model'!F68,0,-'Dashboard and Input Variables'!$B$34,1,1),0)</f>
        <v>0</v>
      </c>
      <c r="G55" s="62">
        <f ca="1">F55+F68-IF(G$2-1&gt;='Dashboard and Input Variables'!$B$34,OFFSET('Cumulative 40yr Model'!G68,0,-'Dashboard and Input Variables'!$B$34,1,1),0)</f>
        <v>0</v>
      </c>
      <c r="H55" s="62">
        <f ca="1">G55+G68-IF(H$2-1&gt;='Dashboard and Input Variables'!$B$34,OFFSET('Cumulative 40yr Model'!H68,0,-'Dashboard and Input Variables'!$B$34,1,1),0)</f>
        <v>0</v>
      </c>
      <c r="I55" s="62">
        <f ca="1">H55+H68-IF(I$2-1&gt;='Dashboard and Input Variables'!$B$34,OFFSET('Cumulative 40yr Model'!I68,0,-'Dashboard and Input Variables'!$B$34,1,1),0)</f>
        <v>0</v>
      </c>
      <c r="J55" s="62">
        <f ca="1">I55+I68-IF(J$2-1&gt;='Dashboard and Input Variables'!$B$34,OFFSET('Cumulative 40yr Model'!J68,0,-'Dashboard and Input Variables'!$B$34,1,1),0)</f>
        <v>0</v>
      </c>
      <c r="K55" s="62">
        <f ca="1">J55+J68-IF(K$2-1&gt;='Dashboard and Input Variables'!$B$34,OFFSET('Cumulative 40yr Model'!K68,0,-'Dashboard and Input Variables'!$B$34,1,1),0)</f>
        <v>0</v>
      </c>
      <c r="L55" s="62">
        <f ca="1">K55+K68-IF(L$2-1&gt;='Dashboard and Input Variables'!$B$34,OFFSET('Cumulative 40yr Model'!L68,0,-'Dashboard and Input Variables'!$B$34,1,1),0)</f>
        <v>0</v>
      </c>
      <c r="M55" s="62">
        <f ca="1">L55+L68-IF(M$2-1&gt;='Dashboard and Input Variables'!$B$34,OFFSET('Cumulative 40yr Model'!M68,0,-'Dashboard and Input Variables'!$B$34,1,1),0)</f>
        <v>0</v>
      </c>
      <c r="N55" s="62">
        <f ca="1">M55+M68-IF(N$2-1&gt;='Dashboard and Input Variables'!$B$34,OFFSET('Cumulative 40yr Model'!N68,0,-'Dashboard and Input Variables'!$B$34,1,1),0)</f>
        <v>0</v>
      </c>
      <c r="O55" s="62">
        <f ca="1">N55+N68-IF(O$2-1&gt;='Dashboard and Input Variables'!$B$34,OFFSET('Cumulative 40yr Model'!O68,0,-'Dashboard and Input Variables'!$B$34,1,1),0)</f>
        <v>0</v>
      </c>
      <c r="P55" s="62">
        <f ca="1">O55+O68-IF(P$2-1&gt;='Dashboard and Input Variables'!$B$34,OFFSET('Cumulative 40yr Model'!P68,0,-'Dashboard and Input Variables'!$B$34,1,1),0)</f>
        <v>0</v>
      </c>
      <c r="Q55" s="62">
        <f ca="1">P55+P68-IF(Q$2-1&gt;='Dashboard and Input Variables'!$B$34,OFFSET('Cumulative 40yr Model'!Q68,0,-'Dashboard and Input Variables'!$B$34,1,1),0)</f>
        <v>0</v>
      </c>
      <c r="R55" s="62">
        <f ca="1">Q55+Q68-IF(R$2-1&gt;='Dashboard and Input Variables'!$B$34,OFFSET('Cumulative 40yr Model'!R68,0,-'Dashboard and Input Variables'!$B$34,1,1),0)</f>
        <v>0</v>
      </c>
      <c r="S55" s="62">
        <f ca="1">R55+R68-IF(S$2-1&gt;='Dashboard and Input Variables'!$B$34,OFFSET('Cumulative 40yr Model'!S68,0,-'Dashboard and Input Variables'!$B$34,1,1),0)</f>
        <v>0</v>
      </c>
      <c r="T55" s="62">
        <f ca="1">S55+S68-IF(T$2-1&gt;='Dashboard and Input Variables'!$B$34,OFFSET('Cumulative 40yr Model'!T68,0,-'Dashboard and Input Variables'!$B$34,1,1),0)</f>
        <v>0</v>
      </c>
      <c r="U55" s="62">
        <f ca="1">T55+T68-IF(U$2-1&gt;='Dashboard and Input Variables'!$B$34,OFFSET('Cumulative 40yr Model'!U68,0,-'Dashboard and Input Variables'!$B$34,1,1),0)</f>
        <v>0</v>
      </c>
      <c r="V55" s="62">
        <f ca="1">U55+U68-IF(V$2-1&gt;='Dashboard and Input Variables'!$B$34,OFFSET('Cumulative 40yr Model'!V68,0,-'Dashboard and Input Variables'!$B$34,1,1),0)</f>
        <v>0</v>
      </c>
      <c r="W55" s="62">
        <f ca="1">V55+V68-IF(W$2-1&gt;='Dashboard and Input Variables'!$B$34,OFFSET('Cumulative 40yr Model'!W68,0,-'Dashboard and Input Variables'!$B$34,1,1),0)</f>
        <v>0</v>
      </c>
      <c r="X55" s="62">
        <f ca="1">W55+W68-IF(X$2-1&gt;='Dashboard and Input Variables'!$B$34,OFFSET('Cumulative 40yr Model'!X68,0,-'Dashboard and Input Variables'!$B$34,1,1),0)</f>
        <v>0</v>
      </c>
      <c r="Y55" s="62">
        <f ca="1">X55+X68-IF(Y$2-1&gt;='Dashboard and Input Variables'!$B$34,OFFSET('Cumulative 40yr Model'!Y68,0,-'Dashboard and Input Variables'!$B$34,1,1),0)</f>
        <v>0</v>
      </c>
      <c r="Z55" s="62">
        <f ca="1">Y55+Y68-IF(Z$2-1&gt;='Dashboard and Input Variables'!$B$34,OFFSET('Cumulative 40yr Model'!Z68,0,-'Dashboard and Input Variables'!$B$34,1,1),0)</f>
        <v>0</v>
      </c>
      <c r="AA55" s="62">
        <f ca="1">Z55+Z68-IF(AA$2-1&gt;='Dashboard and Input Variables'!$B$34,OFFSET('Cumulative 40yr Model'!AA68,0,-'Dashboard and Input Variables'!$B$34,1,1),0)</f>
        <v>0</v>
      </c>
      <c r="AB55" s="62">
        <f ca="1">AA55+AA68-IF(AB$2-1&gt;='Dashboard and Input Variables'!$B$34,OFFSET('Cumulative 40yr Model'!AB68,0,-'Dashboard and Input Variables'!$B$34,1,1),0)</f>
        <v>0</v>
      </c>
      <c r="AC55" s="62">
        <f ca="1">AB55+AB68-IF(AC$2-1&gt;='Dashboard and Input Variables'!$B$34,OFFSET('Cumulative 40yr Model'!AC68,0,-'Dashboard and Input Variables'!$B$34,1,1),0)</f>
        <v>0</v>
      </c>
      <c r="AD55" s="62">
        <f ca="1">AC55+AC68-IF(AD$2-1&gt;='Dashboard and Input Variables'!$B$34,OFFSET('Cumulative 40yr Model'!AD68,0,-'Dashboard and Input Variables'!$B$34,1,1),0)</f>
        <v>0</v>
      </c>
      <c r="AE55" s="62">
        <f ca="1">AD55+AD68-IF(AE$2-1&gt;='Dashboard and Input Variables'!$B$34,OFFSET('Cumulative 40yr Model'!AE68,0,-'Dashboard and Input Variables'!$B$34,1,1),0)</f>
        <v>0</v>
      </c>
      <c r="AF55" s="62">
        <f ca="1">AE55+AE68-IF(AF$2-1&gt;='Dashboard and Input Variables'!$B$34,OFFSET('Cumulative 40yr Model'!AF68,0,-'Dashboard and Input Variables'!$B$34,1,1),0)</f>
        <v>0</v>
      </c>
      <c r="AG55" s="62">
        <f ca="1">AF55+AF68-IF(AG$2-1&gt;='Dashboard and Input Variables'!$B$34,OFFSET('Cumulative 40yr Model'!AG68,0,-'Dashboard and Input Variables'!$B$34,1,1),0)</f>
        <v>0</v>
      </c>
      <c r="AH55" s="62">
        <f ca="1">AG55+AG68-IF(AH$2-1&gt;='Dashboard and Input Variables'!$B$34,OFFSET('Cumulative 40yr Model'!AH68,0,-'Dashboard and Input Variables'!$B$34,1,1),0)</f>
        <v>0</v>
      </c>
      <c r="AI55" s="62">
        <f ca="1">AH55+AH68-IF(AI$2-1&gt;='Dashboard and Input Variables'!$B$34,OFFSET('Cumulative 40yr Model'!AI68,0,-'Dashboard and Input Variables'!$B$34,1,1),0)</f>
        <v>0</v>
      </c>
      <c r="AJ55" s="62">
        <f ca="1">AI55+AI68-IF(AJ$2-1&gt;='Dashboard and Input Variables'!$B$34,OFFSET('Cumulative 40yr Model'!AJ68,0,-'Dashboard and Input Variables'!$B$34,1,1),0)</f>
        <v>0</v>
      </c>
      <c r="AK55" s="62">
        <f ca="1">AJ55+AJ68-IF(AK$2-1&gt;='Dashboard and Input Variables'!$B$34,OFFSET('Cumulative 40yr Model'!AK68,0,-'Dashboard and Input Variables'!$B$34,1,1),0)</f>
        <v>0</v>
      </c>
      <c r="AL55" s="62">
        <f ca="1">AK55+AK68-IF(AL$2-1&gt;='Dashboard and Input Variables'!$B$34,OFFSET('Cumulative 40yr Model'!AL68,0,-'Dashboard and Input Variables'!$B$34,1,1),0)</f>
        <v>0</v>
      </c>
      <c r="AM55" s="62">
        <f ca="1">AL55+AL68-IF(AM$2-1&gt;='Dashboard and Input Variables'!$B$34,OFFSET('Cumulative 40yr Model'!AM68,0,-'Dashboard and Input Variables'!$B$34,1,1),0)</f>
        <v>0</v>
      </c>
      <c r="AN55" s="62">
        <f ca="1">AM55+AM68-IF(AN$2-1&gt;='Dashboard and Input Variables'!$B$34,OFFSET('Cumulative 40yr Model'!AN68,0,-'Dashboard and Input Variables'!$B$34,1,1),0)</f>
        <v>0</v>
      </c>
      <c r="AO55" s="62">
        <f ca="1">AN55+AN68-IF(AO$2-1&gt;='Dashboard and Input Variables'!$B$34,OFFSET('Cumulative 40yr Model'!AO68,0,-'Dashboard and Input Variables'!$B$34,1,1),0)</f>
        <v>0</v>
      </c>
      <c r="AP55" s="62">
        <f ca="1">AO55+AO68-IF(AP$2-1&gt;='Dashboard and Input Variables'!$B$34,OFFSET('Cumulative 40yr Model'!AP68,0,-'Dashboard and Input Variables'!$B$34,1,1),0)</f>
        <v>0</v>
      </c>
      <c r="AQ55" s="62">
        <f ca="1">AP55+AP68-IF(AQ$2-1&gt;='Dashboard and Input Variables'!$B$34,OFFSET('Cumulative 40yr Model'!AQ68,0,-'Dashboard and Input Variables'!$B$34,1,1),0)</f>
        <v>0</v>
      </c>
      <c r="AR55" s="63">
        <f ca="1">AQ55+AQ68-IF(AR$2-1&gt;='Dashboard and Input Variables'!$B$34,OFFSET('Cumulative 40yr Model'!AR68,0,-'Dashboard and Input Variables'!$B$34,1,1),0)</f>
        <v>0</v>
      </c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</row>
    <row r="56" spans="1:60" x14ac:dyDescent="0.25">
      <c r="A56" s="75">
        <f>'Grid Sizes, Locations, and GHGs'!D14</f>
        <v>0</v>
      </c>
      <c r="B56" s="75"/>
      <c r="C56" s="72" t="str">
        <f>'Grid Sizes, Locations, and GHGs'!A14</f>
        <v>unused</v>
      </c>
      <c r="D56" s="75">
        <v>0</v>
      </c>
      <c r="E56" s="75">
        <v>0</v>
      </c>
      <c r="F56" s="73">
        <f ca="1">E56+E69-IF(F$2-1&gt;='Dashboard and Input Variables'!$B$34,OFFSET('Cumulative 40yr Model'!F69,0,-'Dashboard and Input Variables'!$B$34,1,1),0)</f>
        <v>0</v>
      </c>
      <c r="G56" s="73">
        <f ca="1">F56+F69-IF(G$2-1&gt;='Dashboard and Input Variables'!$B$34,OFFSET('Cumulative 40yr Model'!G69,0,-'Dashboard and Input Variables'!$B$34,1,1),0)</f>
        <v>0</v>
      </c>
      <c r="H56" s="73">
        <f ca="1">G56+G69-IF(H$2-1&gt;='Dashboard and Input Variables'!$B$34,OFFSET('Cumulative 40yr Model'!H69,0,-'Dashboard and Input Variables'!$B$34,1,1),0)</f>
        <v>0</v>
      </c>
      <c r="I56" s="73">
        <f ca="1">H56+H69-IF(I$2-1&gt;='Dashboard and Input Variables'!$B$34,OFFSET('Cumulative 40yr Model'!I69,0,-'Dashboard and Input Variables'!$B$34,1,1),0)</f>
        <v>0</v>
      </c>
      <c r="J56" s="73">
        <f ca="1">I56+I69-IF(J$2-1&gt;='Dashboard and Input Variables'!$B$34,OFFSET('Cumulative 40yr Model'!J69,0,-'Dashboard and Input Variables'!$B$34,1,1),0)</f>
        <v>0</v>
      </c>
      <c r="K56" s="73">
        <f ca="1">J56+J69-IF(K$2-1&gt;='Dashboard and Input Variables'!$B$34,OFFSET('Cumulative 40yr Model'!K69,0,-'Dashboard and Input Variables'!$B$34,1,1),0)</f>
        <v>0</v>
      </c>
      <c r="L56" s="73">
        <f ca="1">K56+K69-IF(L$2-1&gt;='Dashboard and Input Variables'!$B$34,OFFSET('Cumulative 40yr Model'!L69,0,-'Dashboard and Input Variables'!$B$34,1,1),0)</f>
        <v>0</v>
      </c>
      <c r="M56" s="73">
        <f ca="1">L56+L69-IF(M$2-1&gt;='Dashboard and Input Variables'!$B$34,OFFSET('Cumulative 40yr Model'!M69,0,-'Dashboard and Input Variables'!$B$34,1,1),0)</f>
        <v>0</v>
      </c>
      <c r="N56" s="73">
        <f ca="1">M56+M69-IF(N$2-1&gt;='Dashboard and Input Variables'!$B$34,OFFSET('Cumulative 40yr Model'!N69,0,-'Dashboard and Input Variables'!$B$34,1,1),0)</f>
        <v>0</v>
      </c>
      <c r="O56" s="73">
        <f ca="1">N56+N69-IF(O$2-1&gt;='Dashboard and Input Variables'!$B$34,OFFSET('Cumulative 40yr Model'!O69,0,-'Dashboard and Input Variables'!$B$34,1,1),0)</f>
        <v>0</v>
      </c>
      <c r="P56" s="73">
        <f ca="1">O56+O69-IF(P$2-1&gt;='Dashboard and Input Variables'!$B$34,OFFSET('Cumulative 40yr Model'!P69,0,-'Dashboard and Input Variables'!$B$34,1,1),0)</f>
        <v>0</v>
      </c>
      <c r="Q56" s="73">
        <f ca="1">P56+P69-IF(Q$2-1&gt;='Dashboard and Input Variables'!$B$34,OFFSET('Cumulative 40yr Model'!Q69,0,-'Dashboard and Input Variables'!$B$34,1,1),0)</f>
        <v>0</v>
      </c>
      <c r="R56" s="73">
        <f ca="1">Q56+Q69-IF(R$2-1&gt;='Dashboard and Input Variables'!$B$34,OFFSET('Cumulative 40yr Model'!R69,0,-'Dashboard and Input Variables'!$B$34,1,1),0)</f>
        <v>0</v>
      </c>
      <c r="S56" s="73">
        <f ca="1">R56+R69-IF(S$2-1&gt;='Dashboard and Input Variables'!$B$34,OFFSET('Cumulative 40yr Model'!S69,0,-'Dashboard and Input Variables'!$B$34,1,1),0)</f>
        <v>0</v>
      </c>
      <c r="T56" s="73">
        <f ca="1">S56+S69-IF(T$2-1&gt;='Dashboard and Input Variables'!$B$34,OFFSET('Cumulative 40yr Model'!T69,0,-'Dashboard and Input Variables'!$B$34,1,1),0)</f>
        <v>0</v>
      </c>
      <c r="U56" s="73">
        <f ca="1">T56+T69-IF(U$2-1&gt;='Dashboard and Input Variables'!$B$34,OFFSET('Cumulative 40yr Model'!U69,0,-'Dashboard and Input Variables'!$B$34,1,1),0)</f>
        <v>0</v>
      </c>
      <c r="V56" s="73">
        <f ca="1">U56+U69-IF(V$2-1&gt;='Dashboard and Input Variables'!$B$34,OFFSET('Cumulative 40yr Model'!V69,0,-'Dashboard and Input Variables'!$B$34,1,1),0)</f>
        <v>0</v>
      </c>
      <c r="W56" s="73">
        <f ca="1">V56+V69-IF(W$2-1&gt;='Dashboard and Input Variables'!$B$34,OFFSET('Cumulative 40yr Model'!W69,0,-'Dashboard and Input Variables'!$B$34,1,1),0)</f>
        <v>0</v>
      </c>
      <c r="X56" s="73">
        <f ca="1">W56+W69-IF(X$2-1&gt;='Dashboard and Input Variables'!$B$34,OFFSET('Cumulative 40yr Model'!X69,0,-'Dashboard and Input Variables'!$B$34,1,1),0)</f>
        <v>0</v>
      </c>
      <c r="Y56" s="73">
        <f ca="1">X56+X69-IF(Y$2-1&gt;='Dashboard and Input Variables'!$B$34,OFFSET('Cumulative 40yr Model'!Y69,0,-'Dashboard and Input Variables'!$B$34,1,1),0)</f>
        <v>0</v>
      </c>
      <c r="Z56" s="73">
        <f ca="1">Y56+Y69-IF(Z$2-1&gt;='Dashboard and Input Variables'!$B$34,OFFSET('Cumulative 40yr Model'!Z69,0,-'Dashboard and Input Variables'!$B$34,1,1),0)</f>
        <v>0</v>
      </c>
      <c r="AA56" s="73">
        <f ca="1">Z56+Z69-IF(AA$2-1&gt;='Dashboard and Input Variables'!$B$34,OFFSET('Cumulative 40yr Model'!AA69,0,-'Dashboard and Input Variables'!$B$34,1,1),0)</f>
        <v>0</v>
      </c>
      <c r="AB56" s="73">
        <f ca="1">AA56+AA69-IF(AB$2-1&gt;='Dashboard and Input Variables'!$B$34,OFFSET('Cumulative 40yr Model'!AB69,0,-'Dashboard and Input Variables'!$B$34,1,1),0)</f>
        <v>0</v>
      </c>
      <c r="AC56" s="73">
        <f ca="1">AB56+AB69-IF(AC$2-1&gt;='Dashboard and Input Variables'!$B$34,OFFSET('Cumulative 40yr Model'!AC69,0,-'Dashboard and Input Variables'!$B$34,1,1),0)</f>
        <v>0</v>
      </c>
      <c r="AD56" s="73">
        <f ca="1">AC56+AC69-IF(AD$2-1&gt;='Dashboard and Input Variables'!$B$34,OFFSET('Cumulative 40yr Model'!AD69,0,-'Dashboard and Input Variables'!$B$34,1,1),0)</f>
        <v>0</v>
      </c>
      <c r="AE56" s="73">
        <f ca="1">AD56+AD69-IF(AE$2-1&gt;='Dashboard and Input Variables'!$B$34,OFFSET('Cumulative 40yr Model'!AE69,0,-'Dashboard and Input Variables'!$B$34,1,1),0)</f>
        <v>0</v>
      </c>
      <c r="AF56" s="73">
        <f ca="1">AE56+AE69-IF(AF$2-1&gt;='Dashboard and Input Variables'!$B$34,OFFSET('Cumulative 40yr Model'!AF69,0,-'Dashboard and Input Variables'!$B$34,1,1),0)</f>
        <v>0</v>
      </c>
      <c r="AG56" s="73">
        <f ca="1">AF56+AF69-IF(AG$2-1&gt;='Dashboard and Input Variables'!$B$34,OFFSET('Cumulative 40yr Model'!AG69,0,-'Dashboard and Input Variables'!$B$34,1,1),0)</f>
        <v>0</v>
      </c>
      <c r="AH56" s="73">
        <f ca="1">AG56+AG69-IF(AH$2-1&gt;='Dashboard and Input Variables'!$B$34,OFFSET('Cumulative 40yr Model'!AH69,0,-'Dashboard and Input Variables'!$B$34,1,1),0)</f>
        <v>0</v>
      </c>
      <c r="AI56" s="73">
        <f ca="1">AH56+AH69-IF(AI$2-1&gt;='Dashboard and Input Variables'!$B$34,OFFSET('Cumulative 40yr Model'!AI69,0,-'Dashboard and Input Variables'!$B$34,1,1),0)</f>
        <v>0</v>
      </c>
      <c r="AJ56" s="73">
        <f ca="1">AI56+AI69-IF(AJ$2-1&gt;='Dashboard and Input Variables'!$B$34,OFFSET('Cumulative 40yr Model'!AJ69,0,-'Dashboard and Input Variables'!$B$34,1,1),0)</f>
        <v>0</v>
      </c>
      <c r="AK56" s="73">
        <f ca="1">AJ56+AJ69-IF(AK$2-1&gt;='Dashboard and Input Variables'!$B$34,OFFSET('Cumulative 40yr Model'!AK69,0,-'Dashboard and Input Variables'!$B$34,1,1),0)</f>
        <v>0</v>
      </c>
      <c r="AL56" s="73">
        <f ca="1">AK56+AK69-IF(AL$2-1&gt;='Dashboard and Input Variables'!$B$34,OFFSET('Cumulative 40yr Model'!AL69,0,-'Dashboard and Input Variables'!$B$34,1,1),0)</f>
        <v>0</v>
      </c>
      <c r="AM56" s="73">
        <f ca="1">AL56+AL69-IF(AM$2-1&gt;='Dashboard and Input Variables'!$B$34,OFFSET('Cumulative 40yr Model'!AM69,0,-'Dashboard and Input Variables'!$B$34,1,1),0)</f>
        <v>0</v>
      </c>
      <c r="AN56" s="73">
        <f ca="1">AM56+AM69-IF(AN$2-1&gt;='Dashboard and Input Variables'!$B$34,OFFSET('Cumulative 40yr Model'!AN69,0,-'Dashboard and Input Variables'!$B$34,1,1),0)</f>
        <v>0</v>
      </c>
      <c r="AO56" s="73">
        <f ca="1">AN56+AN69-IF(AO$2-1&gt;='Dashboard and Input Variables'!$B$34,OFFSET('Cumulative 40yr Model'!AO69,0,-'Dashboard and Input Variables'!$B$34,1,1),0)</f>
        <v>0</v>
      </c>
      <c r="AP56" s="73">
        <f ca="1">AO56+AO69-IF(AP$2-1&gt;='Dashboard and Input Variables'!$B$34,OFFSET('Cumulative 40yr Model'!AP69,0,-'Dashboard and Input Variables'!$B$34,1,1),0)</f>
        <v>0</v>
      </c>
      <c r="AQ56" s="73">
        <f ca="1">AP56+AP69-IF(AQ$2-1&gt;='Dashboard and Input Variables'!$B$34,OFFSET('Cumulative 40yr Model'!AQ69,0,-'Dashboard and Input Variables'!$B$34,1,1),0)</f>
        <v>0</v>
      </c>
      <c r="AR56" s="74">
        <f ca="1">AQ56+AQ69-IF(AR$2-1&gt;='Dashboard and Input Variables'!$B$34,OFFSET('Cumulative 40yr Model'!AR69,0,-'Dashboard and Input Variables'!$B$34,1,1),0)</f>
        <v>0</v>
      </c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</row>
    <row r="57" spans="1:60" x14ac:dyDescent="0.25">
      <c r="A57" s="9"/>
      <c r="B57" s="9"/>
      <c r="C57" s="61"/>
      <c r="D57" s="7"/>
      <c r="E57" s="9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3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</row>
    <row r="58" spans="1:60" ht="18.75" x14ac:dyDescent="0.3">
      <c r="A58" s="67"/>
      <c r="B58" s="67"/>
      <c r="C58" s="64" t="s">
        <v>141</v>
      </c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8"/>
    </row>
    <row r="59" spans="1:60" ht="28.5" customHeight="1" x14ac:dyDescent="0.25">
      <c r="A59" s="60" t="s">
        <v>91</v>
      </c>
      <c r="B59" s="60" t="s">
        <v>179</v>
      </c>
      <c r="C59" s="45" t="s">
        <v>136</v>
      </c>
      <c r="D59" s="60" t="s">
        <v>140</v>
      </c>
      <c r="E59" s="60" t="s">
        <v>140</v>
      </c>
      <c r="F59" s="60" t="s">
        <v>140</v>
      </c>
      <c r="G59" s="60" t="s">
        <v>140</v>
      </c>
      <c r="H59" s="60" t="s">
        <v>140</v>
      </c>
      <c r="I59" s="60" t="s">
        <v>140</v>
      </c>
      <c r="J59" s="60" t="s">
        <v>140</v>
      </c>
      <c r="K59" s="60" t="s">
        <v>140</v>
      </c>
      <c r="L59" s="60" t="s">
        <v>140</v>
      </c>
      <c r="M59" s="60" t="s">
        <v>140</v>
      </c>
      <c r="N59" s="60" t="s">
        <v>140</v>
      </c>
      <c r="O59" s="60" t="s">
        <v>140</v>
      </c>
      <c r="P59" s="60" t="s">
        <v>140</v>
      </c>
      <c r="Q59" s="60" t="s">
        <v>140</v>
      </c>
      <c r="R59" s="60" t="s">
        <v>140</v>
      </c>
      <c r="S59" s="60" t="s">
        <v>140</v>
      </c>
      <c r="T59" s="60" t="s">
        <v>140</v>
      </c>
      <c r="U59" s="60" t="s">
        <v>140</v>
      </c>
      <c r="V59" s="60" t="s">
        <v>140</v>
      </c>
      <c r="W59" s="60" t="s">
        <v>140</v>
      </c>
      <c r="X59" s="60" t="s">
        <v>140</v>
      </c>
      <c r="Y59" s="60" t="s">
        <v>140</v>
      </c>
      <c r="Z59" s="60" t="s">
        <v>140</v>
      </c>
      <c r="AA59" s="60" t="s">
        <v>140</v>
      </c>
      <c r="AB59" s="60" t="s">
        <v>140</v>
      </c>
      <c r="AC59" s="60" t="s">
        <v>140</v>
      </c>
      <c r="AD59" s="60" t="s">
        <v>140</v>
      </c>
      <c r="AE59" s="60" t="s">
        <v>140</v>
      </c>
      <c r="AF59" s="60" t="s">
        <v>140</v>
      </c>
      <c r="AG59" s="60" t="s">
        <v>140</v>
      </c>
      <c r="AH59" s="60" t="s">
        <v>140</v>
      </c>
      <c r="AI59" s="60" t="s">
        <v>140</v>
      </c>
      <c r="AJ59" s="60" t="s">
        <v>140</v>
      </c>
      <c r="AK59" s="60" t="s">
        <v>140</v>
      </c>
      <c r="AL59" s="60" t="s">
        <v>140</v>
      </c>
      <c r="AM59" s="60" t="s">
        <v>140</v>
      </c>
      <c r="AN59" s="60" t="s">
        <v>140</v>
      </c>
      <c r="AO59" s="60" t="s">
        <v>140</v>
      </c>
      <c r="AP59" s="60" t="s">
        <v>140</v>
      </c>
      <c r="AQ59" s="60" t="s">
        <v>140</v>
      </c>
      <c r="AR59" s="85" t="s">
        <v>140</v>
      </c>
    </row>
    <row r="60" spans="1:60" x14ac:dyDescent="0.25">
      <c r="A60" s="77">
        <f>'Grid Sizes, Locations, and GHGs'!D5</f>
        <v>0</v>
      </c>
      <c r="B60" s="77">
        <f>MIN(A60,'Dashboard and Input Variables'!$B$39)</f>
        <v>0</v>
      </c>
      <c r="C60" s="76" t="str">
        <f>'Grid Sizes, Locations, and GHGs'!A5</f>
        <v>Onsite Usage Via Cogen</v>
      </c>
      <c r="D60" s="77">
        <v>0</v>
      </c>
      <c r="E60" s="78">
        <f t="shared" ref="E60:AR60" si="60">E34-E47</f>
        <v>0.21620091324200919</v>
      </c>
      <c r="F60" s="78">
        <f t="shared" ca="1" si="60"/>
        <v>0</v>
      </c>
      <c r="G60" s="78">
        <f t="shared" ca="1" si="60"/>
        <v>0</v>
      </c>
      <c r="H60" s="78">
        <f t="shared" ca="1" si="60"/>
        <v>0</v>
      </c>
      <c r="I60" s="78">
        <f t="shared" ca="1" si="60"/>
        <v>0</v>
      </c>
      <c r="J60" s="78">
        <f t="shared" ca="1" si="60"/>
        <v>0</v>
      </c>
      <c r="K60" s="78">
        <f t="shared" ca="1" si="60"/>
        <v>0</v>
      </c>
      <c r="L60" s="78">
        <f t="shared" ca="1" si="60"/>
        <v>0</v>
      </c>
      <c r="M60" s="78">
        <f t="shared" ca="1" si="60"/>
        <v>0</v>
      </c>
      <c r="N60" s="78">
        <f t="shared" ca="1" si="60"/>
        <v>0</v>
      </c>
      <c r="O60" s="78">
        <f t="shared" ca="1" si="60"/>
        <v>0</v>
      </c>
      <c r="P60" s="78">
        <f t="shared" ca="1" si="60"/>
        <v>0</v>
      </c>
      <c r="Q60" s="78">
        <f t="shared" ca="1" si="60"/>
        <v>0</v>
      </c>
      <c r="R60" s="78">
        <f t="shared" ca="1" si="60"/>
        <v>0</v>
      </c>
      <c r="S60" s="78">
        <f t="shared" ca="1" si="60"/>
        <v>0</v>
      </c>
      <c r="T60" s="78">
        <f t="shared" ca="1" si="60"/>
        <v>0</v>
      </c>
      <c r="U60" s="78">
        <f t="shared" ca="1" si="60"/>
        <v>0</v>
      </c>
      <c r="V60" s="78">
        <f t="shared" ca="1" si="60"/>
        <v>0</v>
      </c>
      <c r="W60" s="78">
        <f t="shared" ca="1" si="60"/>
        <v>0</v>
      </c>
      <c r="X60" s="78">
        <f t="shared" ca="1" si="60"/>
        <v>0</v>
      </c>
      <c r="Y60" s="78">
        <f t="shared" ca="1" si="60"/>
        <v>0</v>
      </c>
      <c r="Z60" s="78">
        <f t="shared" ca="1" si="60"/>
        <v>0</v>
      </c>
      <c r="AA60" s="78">
        <f t="shared" ca="1" si="60"/>
        <v>0</v>
      </c>
      <c r="AB60" s="78">
        <f t="shared" ca="1" si="60"/>
        <v>0</v>
      </c>
      <c r="AC60" s="78">
        <f t="shared" ca="1" si="60"/>
        <v>0</v>
      </c>
      <c r="AD60" s="78">
        <f t="shared" ca="1" si="60"/>
        <v>0</v>
      </c>
      <c r="AE60" s="78">
        <f t="shared" ca="1" si="60"/>
        <v>0</v>
      </c>
      <c r="AF60" s="78">
        <f t="shared" ca="1" si="60"/>
        <v>0</v>
      </c>
      <c r="AG60" s="78">
        <f t="shared" ca="1" si="60"/>
        <v>0</v>
      </c>
      <c r="AH60" s="78">
        <f t="shared" ca="1" si="60"/>
        <v>0</v>
      </c>
      <c r="AI60" s="78">
        <f t="shared" ca="1" si="60"/>
        <v>0</v>
      </c>
      <c r="AJ60" s="78">
        <f t="shared" ca="1" si="60"/>
        <v>0</v>
      </c>
      <c r="AK60" s="78">
        <f t="shared" ca="1" si="60"/>
        <v>0</v>
      </c>
      <c r="AL60" s="78">
        <f t="shared" ca="1" si="60"/>
        <v>0</v>
      </c>
      <c r="AM60" s="78">
        <f t="shared" ca="1" si="60"/>
        <v>0</v>
      </c>
      <c r="AN60" s="78">
        <f t="shared" ca="1" si="60"/>
        <v>0</v>
      </c>
      <c r="AO60" s="78">
        <f t="shared" ca="1" si="60"/>
        <v>0</v>
      </c>
      <c r="AP60" s="78">
        <f t="shared" ca="1" si="60"/>
        <v>0</v>
      </c>
      <c r="AQ60" s="78">
        <f t="shared" ca="1" si="60"/>
        <v>0</v>
      </c>
      <c r="AR60" s="79">
        <f t="shared" ca="1" si="60"/>
        <v>0</v>
      </c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</row>
    <row r="61" spans="1:60" x14ac:dyDescent="0.25">
      <c r="A61" s="9">
        <f>'Grid Sizes, Locations, and GHGs'!D6</f>
        <v>0</v>
      </c>
      <c r="B61" s="77">
        <f>MIN(A61,'Dashboard and Input Variables'!$B$39)</f>
        <v>0</v>
      </c>
      <c r="C61" s="61" t="str">
        <f>'Grid Sizes, Locations, and GHGs'!A6</f>
        <v>Onsite Usage Electric Assist Indirect</v>
      </c>
      <c r="D61" s="9">
        <v>0</v>
      </c>
      <c r="E61" s="62">
        <f t="shared" ref="E61:AR61" si="61">E35-E48</f>
        <v>0</v>
      </c>
      <c r="F61" s="62">
        <f t="shared" ca="1" si="61"/>
        <v>0</v>
      </c>
      <c r="G61" s="62">
        <f t="shared" ca="1" si="61"/>
        <v>0</v>
      </c>
      <c r="H61" s="62">
        <f t="shared" ca="1" si="61"/>
        <v>0</v>
      </c>
      <c r="I61" s="62">
        <f t="shared" ca="1" si="61"/>
        <v>0</v>
      </c>
      <c r="J61" s="62">
        <f t="shared" ca="1" si="61"/>
        <v>0</v>
      </c>
      <c r="K61" s="62">
        <f t="shared" ca="1" si="61"/>
        <v>0</v>
      </c>
      <c r="L61" s="62">
        <f t="shared" ca="1" si="61"/>
        <v>0</v>
      </c>
      <c r="M61" s="62">
        <f t="shared" ca="1" si="61"/>
        <v>0</v>
      </c>
      <c r="N61" s="62">
        <f t="shared" ca="1" si="61"/>
        <v>0</v>
      </c>
      <c r="O61" s="62">
        <f t="shared" ca="1" si="61"/>
        <v>0</v>
      </c>
      <c r="P61" s="62">
        <f t="shared" ca="1" si="61"/>
        <v>0</v>
      </c>
      <c r="Q61" s="62">
        <f t="shared" ca="1" si="61"/>
        <v>0</v>
      </c>
      <c r="R61" s="62">
        <f t="shared" ca="1" si="61"/>
        <v>0</v>
      </c>
      <c r="S61" s="62">
        <f t="shared" ca="1" si="61"/>
        <v>0</v>
      </c>
      <c r="T61" s="62">
        <f t="shared" ca="1" si="61"/>
        <v>0</v>
      </c>
      <c r="U61" s="62">
        <f t="shared" ca="1" si="61"/>
        <v>0</v>
      </c>
      <c r="V61" s="62">
        <f t="shared" ca="1" si="61"/>
        <v>0</v>
      </c>
      <c r="W61" s="62">
        <f t="shared" ca="1" si="61"/>
        <v>0</v>
      </c>
      <c r="X61" s="62">
        <f t="shared" ca="1" si="61"/>
        <v>0</v>
      </c>
      <c r="Y61" s="62">
        <f t="shared" ca="1" si="61"/>
        <v>0</v>
      </c>
      <c r="Z61" s="62">
        <f t="shared" ca="1" si="61"/>
        <v>0</v>
      </c>
      <c r="AA61" s="62">
        <f t="shared" ca="1" si="61"/>
        <v>0</v>
      </c>
      <c r="AB61" s="62">
        <f t="shared" ca="1" si="61"/>
        <v>0</v>
      </c>
      <c r="AC61" s="62">
        <f t="shared" ca="1" si="61"/>
        <v>0</v>
      </c>
      <c r="AD61" s="62">
        <f t="shared" ca="1" si="61"/>
        <v>0</v>
      </c>
      <c r="AE61" s="62">
        <f t="shared" ca="1" si="61"/>
        <v>0</v>
      </c>
      <c r="AF61" s="62">
        <f t="shared" ca="1" si="61"/>
        <v>0</v>
      </c>
      <c r="AG61" s="62">
        <f t="shared" ca="1" si="61"/>
        <v>0</v>
      </c>
      <c r="AH61" s="62">
        <f t="shared" ca="1" si="61"/>
        <v>0</v>
      </c>
      <c r="AI61" s="62">
        <f t="shared" ca="1" si="61"/>
        <v>0</v>
      </c>
      <c r="AJ61" s="62">
        <f t="shared" ca="1" si="61"/>
        <v>0</v>
      </c>
      <c r="AK61" s="62">
        <f t="shared" ca="1" si="61"/>
        <v>0</v>
      </c>
      <c r="AL61" s="62">
        <f t="shared" ca="1" si="61"/>
        <v>0</v>
      </c>
      <c r="AM61" s="62">
        <f t="shared" ca="1" si="61"/>
        <v>0</v>
      </c>
      <c r="AN61" s="62">
        <f t="shared" ca="1" si="61"/>
        <v>0</v>
      </c>
      <c r="AO61" s="62">
        <f t="shared" ca="1" si="61"/>
        <v>0</v>
      </c>
      <c r="AP61" s="62">
        <f t="shared" ca="1" si="61"/>
        <v>0</v>
      </c>
      <c r="AQ61" s="62">
        <f t="shared" ca="1" si="61"/>
        <v>0</v>
      </c>
      <c r="AR61" s="63">
        <f t="shared" ca="1" si="61"/>
        <v>0</v>
      </c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</row>
    <row r="62" spans="1:60" x14ac:dyDescent="0.25">
      <c r="A62" s="9">
        <f>'Grid Sizes, Locations, and GHGs'!D7</f>
        <v>0</v>
      </c>
      <c r="B62" s="77">
        <f>MIN(A62,'Dashboard and Input Variables'!$B$39)</f>
        <v>0</v>
      </c>
      <c r="C62" s="61" t="str">
        <f>'Grid Sizes, Locations, and GHGs'!A7</f>
        <v>Onsite Usage Electric Assist Direct</v>
      </c>
      <c r="D62" s="9">
        <v>0</v>
      </c>
      <c r="E62" s="62">
        <f t="shared" ref="E62:AR62" si="62">E36-E49</f>
        <v>0</v>
      </c>
      <c r="F62" s="62">
        <f t="shared" ca="1" si="62"/>
        <v>0</v>
      </c>
      <c r="G62" s="62">
        <f t="shared" ca="1" si="62"/>
        <v>0</v>
      </c>
      <c r="H62" s="62">
        <f t="shared" ca="1" si="62"/>
        <v>0</v>
      </c>
      <c r="I62" s="62">
        <f t="shared" ca="1" si="62"/>
        <v>0</v>
      </c>
      <c r="J62" s="62">
        <f t="shared" ca="1" si="62"/>
        <v>0</v>
      </c>
      <c r="K62" s="62">
        <f t="shared" ca="1" si="62"/>
        <v>0</v>
      </c>
      <c r="L62" s="62">
        <f t="shared" ca="1" si="62"/>
        <v>0</v>
      </c>
      <c r="M62" s="62">
        <f t="shared" ca="1" si="62"/>
        <v>0</v>
      </c>
      <c r="N62" s="62">
        <f t="shared" ca="1" si="62"/>
        <v>0</v>
      </c>
      <c r="O62" s="62">
        <f t="shared" ca="1" si="62"/>
        <v>0</v>
      </c>
      <c r="P62" s="62">
        <f t="shared" ca="1" si="62"/>
        <v>0</v>
      </c>
      <c r="Q62" s="62">
        <f t="shared" ca="1" si="62"/>
        <v>0</v>
      </c>
      <c r="R62" s="62">
        <f t="shared" ca="1" si="62"/>
        <v>0</v>
      </c>
      <c r="S62" s="62">
        <f t="shared" ca="1" si="62"/>
        <v>0</v>
      </c>
      <c r="T62" s="62">
        <f t="shared" ca="1" si="62"/>
        <v>0</v>
      </c>
      <c r="U62" s="62">
        <f t="shared" ca="1" si="62"/>
        <v>0</v>
      </c>
      <c r="V62" s="62">
        <f t="shared" ca="1" si="62"/>
        <v>0</v>
      </c>
      <c r="W62" s="62">
        <f t="shared" ca="1" si="62"/>
        <v>0</v>
      </c>
      <c r="X62" s="62">
        <f t="shared" ca="1" si="62"/>
        <v>0</v>
      </c>
      <c r="Y62" s="62">
        <f t="shared" ca="1" si="62"/>
        <v>0</v>
      </c>
      <c r="Z62" s="62">
        <f t="shared" ca="1" si="62"/>
        <v>0</v>
      </c>
      <c r="AA62" s="62">
        <f t="shared" ca="1" si="62"/>
        <v>0</v>
      </c>
      <c r="AB62" s="62">
        <f t="shared" ca="1" si="62"/>
        <v>0</v>
      </c>
      <c r="AC62" s="62">
        <f t="shared" ca="1" si="62"/>
        <v>0</v>
      </c>
      <c r="AD62" s="62">
        <f t="shared" ca="1" si="62"/>
        <v>0</v>
      </c>
      <c r="AE62" s="62">
        <f t="shared" ca="1" si="62"/>
        <v>0</v>
      </c>
      <c r="AF62" s="62">
        <f t="shared" ca="1" si="62"/>
        <v>0</v>
      </c>
      <c r="AG62" s="62">
        <f t="shared" ca="1" si="62"/>
        <v>0</v>
      </c>
      <c r="AH62" s="62">
        <f t="shared" ca="1" si="62"/>
        <v>0</v>
      </c>
      <c r="AI62" s="62">
        <f t="shared" ca="1" si="62"/>
        <v>0</v>
      </c>
      <c r="AJ62" s="62">
        <f t="shared" ca="1" si="62"/>
        <v>0</v>
      </c>
      <c r="AK62" s="62">
        <f t="shared" ca="1" si="62"/>
        <v>0</v>
      </c>
      <c r="AL62" s="62">
        <f t="shared" ca="1" si="62"/>
        <v>0</v>
      </c>
      <c r="AM62" s="62">
        <f t="shared" ca="1" si="62"/>
        <v>0</v>
      </c>
      <c r="AN62" s="62">
        <f t="shared" ca="1" si="62"/>
        <v>0</v>
      </c>
      <c r="AO62" s="62">
        <f t="shared" ca="1" si="62"/>
        <v>0</v>
      </c>
      <c r="AP62" s="62">
        <f t="shared" ca="1" si="62"/>
        <v>0</v>
      </c>
      <c r="AQ62" s="62">
        <f t="shared" ca="1" si="62"/>
        <v>0</v>
      </c>
      <c r="AR62" s="63">
        <f t="shared" ca="1" si="62"/>
        <v>0</v>
      </c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</row>
    <row r="63" spans="1:60" x14ac:dyDescent="0.25">
      <c r="A63" s="9">
        <f>'Grid Sizes, Locations, and GHGs'!D8</f>
        <v>500</v>
      </c>
      <c r="B63" s="77">
        <f>MIN(A63,'Dashboard and Input Variables'!$B$39)</f>
        <v>500</v>
      </c>
      <c r="C63" s="61" t="str">
        <f>'Grid Sizes, Locations, and GHGs'!A8</f>
        <v>Alberta</v>
      </c>
      <c r="D63" s="9">
        <v>0</v>
      </c>
      <c r="E63" s="62">
        <f t="shared" ref="E63:AR63" si="63">E37-E50</f>
        <v>0.65797686453576865</v>
      </c>
      <c r="F63" s="62">
        <f t="shared" ca="1" si="63"/>
        <v>0.77072313546423166</v>
      </c>
      <c r="G63" s="62">
        <f t="shared" ca="1" si="63"/>
        <v>0</v>
      </c>
      <c r="H63" s="62">
        <f t="shared" ca="1" si="63"/>
        <v>0</v>
      </c>
      <c r="I63" s="62">
        <f t="shared" ca="1" si="63"/>
        <v>0</v>
      </c>
      <c r="J63" s="62">
        <f t="shared" ca="1" si="63"/>
        <v>0</v>
      </c>
      <c r="K63" s="62">
        <f t="shared" ca="1" si="63"/>
        <v>0</v>
      </c>
      <c r="L63" s="62">
        <f t="shared" ca="1" si="63"/>
        <v>0</v>
      </c>
      <c r="M63" s="62">
        <f t="shared" ca="1" si="63"/>
        <v>0</v>
      </c>
      <c r="N63" s="62">
        <f t="shared" ca="1" si="63"/>
        <v>0</v>
      </c>
      <c r="O63" s="62">
        <f t="shared" ca="1" si="63"/>
        <v>0</v>
      </c>
      <c r="P63" s="62">
        <f t="shared" ca="1" si="63"/>
        <v>0</v>
      </c>
      <c r="Q63" s="62">
        <f t="shared" ca="1" si="63"/>
        <v>0</v>
      </c>
      <c r="R63" s="62">
        <f t="shared" ca="1" si="63"/>
        <v>0</v>
      </c>
      <c r="S63" s="62">
        <f t="shared" ca="1" si="63"/>
        <v>0</v>
      </c>
      <c r="T63" s="62">
        <f t="shared" ca="1" si="63"/>
        <v>0</v>
      </c>
      <c r="U63" s="62">
        <f t="shared" ca="1" si="63"/>
        <v>0</v>
      </c>
      <c r="V63" s="62">
        <f t="shared" ca="1" si="63"/>
        <v>0</v>
      </c>
      <c r="W63" s="62">
        <f t="shared" ca="1" si="63"/>
        <v>0</v>
      </c>
      <c r="X63" s="62">
        <f t="shared" ca="1" si="63"/>
        <v>0</v>
      </c>
      <c r="Y63" s="62">
        <f t="shared" ca="1" si="63"/>
        <v>0</v>
      </c>
      <c r="Z63" s="62">
        <f t="shared" ca="1" si="63"/>
        <v>0</v>
      </c>
      <c r="AA63" s="62">
        <f t="shared" ca="1" si="63"/>
        <v>0</v>
      </c>
      <c r="AB63" s="62">
        <f t="shared" ca="1" si="63"/>
        <v>0</v>
      </c>
      <c r="AC63" s="62">
        <f t="shared" ca="1" si="63"/>
        <v>0</v>
      </c>
      <c r="AD63" s="62">
        <f t="shared" ca="1" si="63"/>
        <v>0</v>
      </c>
      <c r="AE63" s="62">
        <f t="shared" ca="1" si="63"/>
        <v>0</v>
      </c>
      <c r="AF63" s="62">
        <f t="shared" ca="1" si="63"/>
        <v>0</v>
      </c>
      <c r="AG63" s="62">
        <f t="shared" ca="1" si="63"/>
        <v>0</v>
      </c>
      <c r="AH63" s="62">
        <f t="shared" ca="1" si="63"/>
        <v>0</v>
      </c>
      <c r="AI63" s="62">
        <f t="shared" ca="1" si="63"/>
        <v>0</v>
      </c>
      <c r="AJ63" s="62">
        <f t="shared" ca="1" si="63"/>
        <v>0</v>
      </c>
      <c r="AK63" s="62">
        <f t="shared" ca="1" si="63"/>
        <v>0</v>
      </c>
      <c r="AL63" s="62">
        <f t="shared" ca="1" si="63"/>
        <v>0</v>
      </c>
      <c r="AM63" s="62">
        <f t="shared" ca="1" si="63"/>
        <v>0</v>
      </c>
      <c r="AN63" s="62">
        <f t="shared" ca="1" si="63"/>
        <v>0</v>
      </c>
      <c r="AO63" s="62">
        <f t="shared" ca="1" si="63"/>
        <v>0</v>
      </c>
      <c r="AP63" s="62">
        <f t="shared" ca="1" si="63"/>
        <v>0</v>
      </c>
      <c r="AQ63" s="62">
        <f t="shared" ca="1" si="63"/>
        <v>0</v>
      </c>
      <c r="AR63" s="63">
        <f t="shared" ca="1" si="63"/>
        <v>0</v>
      </c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</row>
    <row r="64" spans="1:60" x14ac:dyDescent="0.25">
      <c r="A64" s="9">
        <f>'Grid Sizes, Locations, and GHGs'!D9</f>
        <v>3200</v>
      </c>
      <c r="B64" s="77">
        <f>MIN(A64,'Dashboard and Input Variables'!$B$39)</f>
        <v>500</v>
      </c>
      <c r="C64" s="61" t="str">
        <f>'Grid Sizes, Locations, and GHGs'!A9</f>
        <v>USA (excluding California)</v>
      </c>
      <c r="D64" s="9">
        <v>0</v>
      </c>
      <c r="E64" s="62">
        <f t="shared" ref="E64:AR64" si="64">E38-E51</f>
        <v>0</v>
      </c>
      <c r="F64" s="62">
        <f t="shared" ca="1" si="64"/>
        <v>8.4181952507855096E-2</v>
      </c>
      <c r="G64" s="62">
        <f t="shared" ca="1" si="64"/>
        <v>0.83618876997267022</v>
      </c>
      <c r="H64" s="62">
        <f t="shared" ca="1" si="64"/>
        <v>0.75520350779811096</v>
      </c>
      <c r="I64" s="62">
        <f t="shared" ca="1" si="64"/>
        <v>0.76010345485918984</v>
      </c>
      <c r="J64" s="62">
        <f t="shared" ca="1" si="64"/>
        <v>0.75484065194676209</v>
      </c>
      <c r="K64" s="62">
        <f t="shared" ca="1" si="64"/>
        <v>0.75096692291913225</v>
      </c>
      <c r="L64" s="62">
        <f t="shared" ca="1" si="64"/>
        <v>0.74709090798662769</v>
      </c>
      <c r="M64" s="62">
        <f t="shared" ca="1" si="64"/>
        <v>0.74337822624693572</v>
      </c>
      <c r="N64" s="62">
        <f t="shared" ca="1" si="64"/>
        <v>0.73980724464303194</v>
      </c>
      <c r="O64" s="62">
        <f t="shared" ca="1" si="64"/>
        <v>0.73637889171840598</v>
      </c>
      <c r="P64" s="62">
        <f t="shared" ca="1" si="64"/>
        <v>0.73309141852879023</v>
      </c>
      <c r="Q64" s="62">
        <f t="shared" ca="1" si="64"/>
        <v>0.72994343416626073</v>
      </c>
      <c r="R64" s="62">
        <f t="shared" ca="1" si="64"/>
        <v>0.72693354012751676</v>
      </c>
      <c r="S64" s="62">
        <f t="shared" ca="1" si="64"/>
        <v>0.72406037381748156</v>
      </c>
      <c r="T64" s="62">
        <f t="shared" ca="1" si="64"/>
        <v>0.72132260284649519</v>
      </c>
      <c r="U64" s="62">
        <f t="shared" ca="1" si="64"/>
        <v>0.71871892525516934</v>
      </c>
      <c r="V64" s="62">
        <f t="shared" ca="1" si="64"/>
        <v>0.71624806903459337</v>
      </c>
      <c r="W64" s="62">
        <f t="shared" ca="1" si="64"/>
        <v>0.71390879173966937</v>
      </c>
      <c r="X64" s="62">
        <f t="shared" ca="1" si="64"/>
        <v>0.71169988009940433</v>
      </c>
      <c r="Y64" s="62">
        <f t="shared" ca="1" si="64"/>
        <v>-0.16455762814217323</v>
      </c>
      <c r="Z64" s="62">
        <f t="shared" ca="1" si="64"/>
        <v>-2.7935404125370766E-2</v>
      </c>
      <c r="AA64" s="62">
        <f t="shared" ca="1" si="64"/>
        <v>-1.4107759649448326E-2</v>
      </c>
      <c r="AB64" s="62">
        <f t="shared" ca="1" si="64"/>
        <v>7.6377869857481073E-2</v>
      </c>
      <c r="AC64" s="62">
        <f t="shared" ca="1" si="64"/>
        <v>7.0374715844572222E-2</v>
      </c>
      <c r="AD64" s="62">
        <f t="shared" ca="1" si="64"/>
        <v>8.6171894364950319E-2</v>
      </c>
      <c r="AE64" s="62">
        <f t="shared" ca="1" si="64"/>
        <v>9.7824679289345795E-2</v>
      </c>
      <c r="AF64" s="62">
        <f t="shared" ca="1" si="64"/>
        <v>0.10987107169048649</v>
      </c>
      <c r="AG64" s="62">
        <f t="shared" ca="1" si="64"/>
        <v>0.12160239340805035</v>
      </c>
      <c r="AH64" s="62">
        <f t="shared" ca="1" si="64"/>
        <v>0.1331309892998096</v>
      </c>
      <c r="AI64" s="62">
        <f t="shared" ca="1" si="64"/>
        <v>0.14444745425186767</v>
      </c>
      <c r="AJ64" s="62">
        <f t="shared" ca="1" si="64"/>
        <v>0.15555965093779278</v>
      </c>
      <c r="AK64" s="62">
        <f t="shared" ca="1" si="64"/>
        <v>0.16647290946892745</v>
      </c>
      <c r="AL64" s="62">
        <f t="shared" ca="1" si="64"/>
        <v>0.17719278230335433</v>
      </c>
      <c r="AM64" s="62">
        <f t="shared" ca="1" si="64"/>
        <v>0.18772467080156829</v>
      </c>
      <c r="AN64" s="62">
        <f t="shared" ca="1" si="64"/>
        <v>0.19807387798114107</v>
      </c>
      <c r="AO64" s="62">
        <f t="shared" ca="1" si="64"/>
        <v>0.20824560395049829</v>
      </c>
      <c r="AP64" s="62">
        <f t="shared" ca="1" si="64"/>
        <v>0.21824494891491497</v>
      </c>
      <c r="AQ64" s="62">
        <f t="shared" ca="1" si="64"/>
        <v>0.22807691513990846</v>
      </c>
      <c r="AR64" s="63">
        <f t="shared" ca="1" si="64"/>
        <v>0.23774640900676403</v>
      </c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</row>
    <row r="65" spans="1:60" x14ac:dyDescent="0.25">
      <c r="A65" s="9">
        <f>'Grid Sizes, Locations, and GHGs'!D10</f>
        <v>2800</v>
      </c>
      <c r="B65" s="77">
        <f>MIN(A65,'Dashboard and Input Variables'!$B$39)</f>
        <v>500</v>
      </c>
      <c r="C65" s="61" t="str">
        <f>'Grid Sizes, Locations, and GHGs'!A10</f>
        <v>California</v>
      </c>
      <c r="D65" s="9">
        <v>0</v>
      </c>
      <c r="E65" s="62">
        <f t="shared" ref="E65:AR65" si="65">E39-E52</f>
        <v>0</v>
      </c>
      <c r="F65" s="62">
        <f t="shared" ca="1" si="65"/>
        <v>0</v>
      </c>
      <c r="G65" s="62">
        <f t="shared" ca="1" si="65"/>
        <v>0</v>
      </c>
      <c r="H65" s="62">
        <f t="shared" ca="1" si="65"/>
        <v>0</v>
      </c>
      <c r="I65" s="62">
        <f t="shared" ca="1" si="65"/>
        <v>0</v>
      </c>
      <c r="J65" s="62">
        <f t="shared" ca="1" si="65"/>
        <v>0</v>
      </c>
      <c r="K65" s="62">
        <f t="shared" ca="1" si="65"/>
        <v>0</v>
      </c>
      <c r="L65" s="62">
        <f t="shared" ca="1" si="65"/>
        <v>-8.8817841970012523E-16</v>
      </c>
      <c r="M65" s="62">
        <f t="shared" ca="1" si="65"/>
        <v>8.8817841970012523E-16</v>
      </c>
      <c r="N65" s="62">
        <f t="shared" ca="1" si="65"/>
        <v>-8.8817841970012523E-16</v>
      </c>
      <c r="O65" s="62">
        <f t="shared" ca="1" si="65"/>
        <v>8.8817841970012523E-16</v>
      </c>
      <c r="P65" s="62">
        <f t="shared" ca="1" si="65"/>
        <v>0</v>
      </c>
      <c r="Q65" s="62">
        <f t="shared" ca="1" si="65"/>
        <v>0</v>
      </c>
      <c r="R65" s="62">
        <f t="shared" ca="1" si="65"/>
        <v>0</v>
      </c>
      <c r="S65" s="62">
        <f t="shared" ca="1" si="65"/>
        <v>0</v>
      </c>
      <c r="T65" s="62">
        <f t="shared" ca="1" si="65"/>
        <v>0</v>
      </c>
      <c r="U65" s="62">
        <f t="shared" ca="1" si="65"/>
        <v>0</v>
      </c>
      <c r="V65" s="62">
        <f t="shared" ca="1" si="65"/>
        <v>0</v>
      </c>
      <c r="W65" s="62">
        <f t="shared" ca="1" si="65"/>
        <v>0</v>
      </c>
      <c r="X65" s="62">
        <f t="shared" ca="1" si="65"/>
        <v>0</v>
      </c>
      <c r="Y65" s="62">
        <f t="shared" ca="1" si="65"/>
        <v>0</v>
      </c>
      <c r="Z65" s="62">
        <f t="shared" ca="1" si="65"/>
        <v>0</v>
      </c>
      <c r="AA65" s="62">
        <f t="shared" ca="1" si="65"/>
        <v>0</v>
      </c>
      <c r="AB65" s="62">
        <f t="shared" ca="1" si="65"/>
        <v>0</v>
      </c>
      <c r="AC65" s="62">
        <f t="shared" ca="1" si="65"/>
        <v>0</v>
      </c>
      <c r="AD65" s="62">
        <f t="shared" ca="1" si="65"/>
        <v>0</v>
      </c>
      <c r="AE65" s="62">
        <f t="shared" ca="1" si="65"/>
        <v>0</v>
      </c>
      <c r="AF65" s="62">
        <f t="shared" ca="1" si="65"/>
        <v>0</v>
      </c>
      <c r="AG65" s="62">
        <f t="shared" ca="1" si="65"/>
        <v>0</v>
      </c>
      <c r="AH65" s="62">
        <f t="shared" ca="1" si="65"/>
        <v>0</v>
      </c>
      <c r="AI65" s="62">
        <f t="shared" ca="1" si="65"/>
        <v>0</v>
      </c>
      <c r="AJ65" s="62">
        <f t="shared" ca="1" si="65"/>
        <v>0</v>
      </c>
      <c r="AK65" s="62">
        <f t="shared" ca="1" si="65"/>
        <v>0</v>
      </c>
      <c r="AL65" s="62">
        <f t="shared" ca="1" si="65"/>
        <v>0</v>
      </c>
      <c r="AM65" s="62">
        <f t="shared" ca="1" si="65"/>
        <v>0</v>
      </c>
      <c r="AN65" s="62">
        <f t="shared" ca="1" si="65"/>
        <v>0</v>
      </c>
      <c r="AO65" s="62">
        <f t="shared" ca="1" si="65"/>
        <v>0</v>
      </c>
      <c r="AP65" s="62">
        <f t="shared" ca="1" si="65"/>
        <v>0</v>
      </c>
      <c r="AQ65" s="62">
        <f t="shared" ca="1" si="65"/>
        <v>0</v>
      </c>
      <c r="AR65" s="63">
        <f t="shared" ca="1" si="65"/>
        <v>0</v>
      </c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</row>
    <row r="66" spans="1:60" x14ac:dyDescent="0.25">
      <c r="A66" s="9">
        <f>'Grid Sizes, Locations, and GHGs'!D11</f>
        <v>4000</v>
      </c>
      <c r="B66" s="77">
        <f>MIN(A66,'Dashboard and Input Variables'!$B$39)</f>
        <v>500</v>
      </c>
      <c r="C66" s="61" t="str">
        <f>'Grid Sizes, Locations, and GHGs'!A11</f>
        <v>Canada (excluding Alberta)</v>
      </c>
      <c r="D66" s="9">
        <v>0</v>
      </c>
      <c r="E66" s="62">
        <f t="shared" ref="E66:AR66" si="66">E40-E53</f>
        <v>0</v>
      </c>
      <c r="F66" s="62">
        <f t="shared" ca="1" si="66"/>
        <v>0</v>
      </c>
      <c r="G66" s="62">
        <f t="shared" ca="1" si="66"/>
        <v>0</v>
      </c>
      <c r="H66" s="62">
        <f t="shared" ca="1" si="66"/>
        <v>0</v>
      </c>
      <c r="I66" s="62">
        <f t="shared" ca="1" si="66"/>
        <v>0</v>
      </c>
      <c r="J66" s="62">
        <f t="shared" ca="1" si="66"/>
        <v>0</v>
      </c>
      <c r="K66" s="62">
        <f t="shared" ca="1" si="66"/>
        <v>0</v>
      </c>
      <c r="L66" s="62">
        <f t="shared" ca="1" si="66"/>
        <v>0</v>
      </c>
      <c r="M66" s="62">
        <f t="shared" ca="1" si="66"/>
        <v>0</v>
      </c>
      <c r="N66" s="62">
        <f t="shared" ca="1" si="66"/>
        <v>0</v>
      </c>
      <c r="O66" s="62">
        <f t="shared" ca="1" si="66"/>
        <v>0</v>
      </c>
      <c r="P66" s="62">
        <f t="shared" ca="1" si="66"/>
        <v>0</v>
      </c>
      <c r="Q66" s="62">
        <f t="shared" ca="1" si="66"/>
        <v>0</v>
      </c>
      <c r="R66" s="62">
        <f t="shared" ca="1" si="66"/>
        <v>0</v>
      </c>
      <c r="S66" s="62">
        <f t="shared" ca="1" si="66"/>
        <v>0</v>
      </c>
      <c r="T66" s="62">
        <f t="shared" ca="1" si="66"/>
        <v>0</v>
      </c>
      <c r="U66" s="62">
        <f t="shared" ca="1" si="66"/>
        <v>0</v>
      </c>
      <c r="V66" s="62">
        <f t="shared" ca="1" si="66"/>
        <v>0</v>
      </c>
      <c r="W66" s="62">
        <f t="shared" ca="1" si="66"/>
        <v>0</v>
      </c>
      <c r="X66" s="62">
        <f t="shared" ca="1" si="66"/>
        <v>0</v>
      </c>
      <c r="Y66" s="62">
        <f t="shared" ca="1" si="66"/>
        <v>0</v>
      </c>
      <c r="Z66" s="62">
        <f t="shared" ca="1" si="66"/>
        <v>0</v>
      </c>
      <c r="AA66" s="62">
        <f t="shared" ca="1" si="66"/>
        <v>0</v>
      </c>
      <c r="AB66" s="62">
        <f t="shared" ca="1" si="66"/>
        <v>0</v>
      </c>
      <c r="AC66" s="62">
        <f t="shared" ca="1" si="66"/>
        <v>0</v>
      </c>
      <c r="AD66" s="62">
        <f t="shared" ca="1" si="66"/>
        <v>0</v>
      </c>
      <c r="AE66" s="62">
        <f t="shared" ca="1" si="66"/>
        <v>0</v>
      </c>
      <c r="AF66" s="62">
        <f t="shared" ca="1" si="66"/>
        <v>0</v>
      </c>
      <c r="AG66" s="62">
        <f t="shared" ca="1" si="66"/>
        <v>0</v>
      </c>
      <c r="AH66" s="62">
        <f t="shared" ca="1" si="66"/>
        <v>0</v>
      </c>
      <c r="AI66" s="62">
        <f t="shared" ca="1" si="66"/>
        <v>0</v>
      </c>
      <c r="AJ66" s="62">
        <f t="shared" ca="1" si="66"/>
        <v>0</v>
      </c>
      <c r="AK66" s="62">
        <f t="shared" ca="1" si="66"/>
        <v>0</v>
      </c>
      <c r="AL66" s="62">
        <f t="shared" ca="1" si="66"/>
        <v>0</v>
      </c>
      <c r="AM66" s="62">
        <f t="shared" ca="1" si="66"/>
        <v>0</v>
      </c>
      <c r="AN66" s="62">
        <f t="shared" ca="1" si="66"/>
        <v>0</v>
      </c>
      <c r="AO66" s="62">
        <f t="shared" ca="1" si="66"/>
        <v>0</v>
      </c>
      <c r="AP66" s="62">
        <f t="shared" ca="1" si="66"/>
        <v>0</v>
      </c>
      <c r="AQ66" s="62">
        <f t="shared" ca="1" si="66"/>
        <v>0</v>
      </c>
      <c r="AR66" s="63">
        <f t="shared" ca="1" si="66"/>
        <v>0</v>
      </c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</row>
    <row r="67" spans="1:60" x14ac:dyDescent="0.25">
      <c r="A67" s="9">
        <f>'Grid Sizes, Locations, and GHGs'!D12</f>
        <v>0</v>
      </c>
      <c r="B67" s="77">
        <f>MIN(A67,'Dashboard and Input Variables'!$B$39)</f>
        <v>0</v>
      </c>
      <c r="C67" s="61" t="str">
        <f>'Grid Sizes, Locations, and GHGs'!A12</f>
        <v>unused</v>
      </c>
      <c r="D67" s="9">
        <v>0</v>
      </c>
      <c r="E67" s="62">
        <f t="shared" ref="E67:AR67" si="67">E41-E54</f>
        <v>0</v>
      </c>
      <c r="F67" s="62">
        <f t="shared" ca="1" si="67"/>
        <v>0</v>
      </c>
      <c r="G67" s="62">
        <f t="shared" ca="1" si="67"/>
        <v>0</v>
      </c>
      <c r="H67" s="62">
        <f t="shared" ca="1" si="67"/>
        <v>0</v>
      </c>
      <c r="I67" s="62">
        <f t="shared" ca="1" si="67"/>
        <v>0</v>
      </c>
      <c r="J67" s="62">
        <f t="shared" ca="1" si="67"/>
        <v>0</v>
      </c>
      <c r="K67" s="62">
        <f t="shared" ca="1" si="67"/>
        <v>0</v>
      </c>
      <c r="L67" s="62">
        <f t="shared" ca="1" si="67"/>
        <v>0</v>
      </c>
      <c r="M67" s="62">
        <f t="shared" ca="1" si="67"/>
        <v>0</v>
      </c>
      <c r="N67" s="62">
        <f t="shared" ca="1" si="67"/>
        <v>0</v>
      </c>
      <c r="O67" s="62">
        <f t="shared" ca="1" si="67"/>
        <v>0</v>
      </c>
      <c r="P67" s="62">
        <f t="shared" ca="1" si="67"/>
        <v>0</v>
      </c>
      <c r="Q67" s="62">
        <f t="shared" ca="1" si="67"/>
        <v>0</v>
      </c>
      <c r="R67" s="62">
        <f t="shared" ca="1" si="67"/>
        <v>0</v>
      </c>
      <c r="S67" s="62">
        <f t="shared" ca="1" si="67"/>
        <v>0</v>
      </c>
      <c r="T67" s="62">
        <f t="shared" ca="1" si="67"/>
        <v>0</v>
      </c>
      <c r="U67" s="62">
        <f t="shared" ca="1" si="67"/>
        <v>0</v>
      </c>
      <c r="V67" s="62">
        <f t="shared" ca="1" si="67"/>
        <v>0</v>
      </c>
      <c r="W67" s="62">
        <f t="shared" ca="1" si="67"/>
        <v>0</v>
      </c>
      <c r="X67" s="62">
        <f t="shared" ca="1" si="67"/>
        <v>0</v>
      </c>
      <c r="Y67" s="62">
        <f t="shared" ca="1" si="67"/>
        <v>0</v>
      </c>
      <c r="Z67" s="62">
        <f t="shared" ca="1" si="67"/>
        <v>0</v>
      </c>
      <c r="AA67" s="62">
        <f t="shared" ca="1" si="67"/>
        <v>0</v>
      </c>
      <c r="AB67" s="62">
        <f t="shared" ca="1" si="67"/>
        <v>0</v>
      </c>
      <c r="AC67" s="62">
        <f t="shared" ca="1" si="67"/>
        <v>0</v>
      </c>
      <c r="AD67" s="62">
        <f t="shared" ca="1" si="67"/>
        <v>0</v>
      </c>
      <c r="AE67" s="62">
        <f t="shared" ca="1" si="67"/>
        <v>0</v>
      </c>
      <c r="AF67" s="62">
        <f t="shared" ca="1" si="67"/>
        <v>0</v>
      </c>
      <c r="AG67" s="62">
        <f t="shared" ca="1" si="67"/>
        <v>0</v>
      </c>
      <c r="AH67" s="62">
        <f t="shared" ca="1" si="67"/>
        <v>0</v>
      </c>
      <c r="AI67" s="62">
        <f t="shared" ca="1" si="67"/>
        <v>0</v>
      </c>
      <c r="AJ67" s="62">
        <f t="shared" ca="1" si="67"/>
        <v>0</v>
      </c>
      <c r="AK67" s="62">
        <f t="shared" ca="1" si="67"/>
        <v>0</v>
      </c>
      <c r="AL67" s="62">
        <f t="shared" ca="1" si="67"/>
        <v>0</v>
      </c>
      <c r="AM67" s="62">
        <f t="shared" ca="1" si="67"/>
        <v>0</v>
      </c>
      <c r="AN67" s="62">
        <f t="shared" ca="1" si="67"/>
        <v>0</v>
      </c>
      <c r="AO67" s="62">
        <f t="shared" ca="1" si="67"/>
        <v>0</v>
      </c>
      <c r="AP67" s="62">
        <f t="shared" ca="1" si="67"/>
        <v>0</v>
      </c>
      <c r="AQ67" s="62">
        <f t="shared" ca="1" si="67"/>
        <v>0</v>
      </c>
      <c r="AR67" s="63">
        <f t="shared" ca="1" si="67"/>
        <v>0</v>
      </c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</row>
    <row r="68" spans="1:60" ht="15.75" thickBot="1" x14ac:dyDescent="0.3">
      <c r="A68" s="9">
        <f>'Grid Sizes, Locations, and GHGs'!D13</f>
        <v>0</v>
      </c>
      <c r="B68" s="77">
        <f>MIN(A68,'Dashboard and Input Variables'!$B$39)</f>
        <v>0</v>
      </c>
      <c r="C68" s="61" t="str">
        <f>'Grid Sizes, Locations, and GHGs'!A13</f>
        <v>unused</v>
      </c>
      <c r="D68" s="9">
        <v>0</v>
      </c>
      <c r="E68" s="62">
        <f t="shared" ref="E68:AR68" si="68">E42-E55</f>
        <v>0</v>
      </c>
      <c r="F68" s="62">
        <f t="shared" ca="1" si="68"/>
        <v>0</v>
      </c>
      <c r="G68" s="62">
        <f t="shared" ca="1" si="68"/>
        <v>0</v>
      </c>
      <c r="H68" s="62">
        <f t="shared" ca="1" si="68"/>
        <v>0</v>
      </c>
      <c r="I68" s="62">
        <f t="shared" ca="1" si="68"/>
        <v>0</v>
      </c>
      <c r="J68" s="62">
        <f t="shared" ca="1" si="68"/>
        <v>0</v>
      </c>
      <c r="K68" s="62">
        <f t="shared" ca="1" si="68"/>
        <v>0</v>
      </c>
      <c r="L68" s="62">
        <f t="shared" ca="1" si="68"/>
        <v>0</v>
      </c>
      <c r="M68" s="62">
        <f t="shared" ca="1" si="68"/>
        <v>0</v>
      </c>
      <c r="N68" s="62">
        <f t="shared" ca="1" si="68"/>
        <v>0</v>
      </c>
      <c r="O68" s="62">
        <f t="shared" ca="1" si="68"/>
        <v>0</v>
      </c>
      <c r="P68" s="62">
        <f t="shared" ca="1" si="68"/>
        <v>0</v>
      </c>
      <c r="Q68" s="62">
        <f t="shared" ca="1" si="68"/>
        <v>0</v>
      </c>
      <c r="R68" s="62">
        <f t="shared" ca="1" si="68"/>
        <v>0</v>
      </c>
      <c r="S68" s="62">
        <f t="shared" ca="1" si="68"/>
        <v>0</v>
      </c>
      <c r="T68" s="62">
        <f t="shared" ca="1" si="68"/>
        <v>0</v>
      </c>
      <c r="U68" s="62">
        <f t="shared" ca="1" si="68"/>
        <v>0</v>
      </c>
      <c r="V68" s="62">
        <f t="shared" ca="1" si="68"/>
        <v>0</v>
      </c>
      <c r="W68" s="62">
        <f t="shared" ca="1" si="68"/>
        <v>0</v>
      </c>
      <c r="X68" s="62">
        <f t="shared" ca="1" si="68"/>
        <v>0</v>
      </c>
      <c r="Y68" s="62">
        <f t="shared" ca="1" si="68"/>
        <v>0</v>
      </c>
      <c r="Z68" s="62">
        <f t="shared" ca="1" si="68"/>
        <v>0</v>
      </c>
      <c r="AA68" s="62">
        <f t="shared" ca="1" si="68"/>
        <v>0</v>
      </c>
      <c r="AB68" s="62">
        <f t="shared" ca="1" si="68"/>
        <v>0</v>
      </c>
      <c r="AC68" s="62">
        <f t="shared" ca="1" si="68"/>
        <v>0</v>
      </c>
      <c r="AD68" s="62">
        <f t="shared" ca="1" si="68"/>
        <v>0</v>
      </c>
      <c r="AE68" s="62">
        <f t="shared" ca="1" si="68"/>
        <v>0</v>
      </c>
      <c r="AF68" s="62">
        <f t="shared" ca="1" si="68"/>
        <v>0</v>
      </c>
      <c r="AG68" s="62">
        <f t="shared" ca="1" si="68"/>
        <v>0</v>
      </c>
      <c r="AH68" s="62">
        <f t="shared" ca="1" si="68"/>
        <v>0</v>
      </c>
      <c r="AI68" s="62">
        <f t="shared" ca="1" si="68"/>
        <v>0</v>
      </c>
      <c r="AJ68" s="62">
        <f t="shared" ca="1" si="68"/>
        <v>0</v>
      </c>
      <c r="AK68" s="62">
        <f t="shared" ca="1" si="68"/>
        <v>0</v>
      </c>
      <c r="AL68" s="62">
        <f t="shared" ca="1" si="68"/>
        <v>0</v>
      </c>
      <c r="AM68" s="62">
        <f t="shared" ca="1" si="68"/>
        <v>0</v>
      </c>
      <c r="AN68" s="62">
        <f t="shared" ca="1" si="68"/>
        <v>0</v>
      </c>
      <c r="AO68" s="62">
        <f t="shared" ca="1" si="68"/>
        <v>0</v>
      </c>
      <c r="AP68" s="62">
        <f t="shared" ca="1" si="68"/>
        <v>0</v>
      </c>
      <c r="AQ68" s="62">
        <f t="shared" ca="1" si="68"/>
        <v>0</v>
      </c>
      <c r="AR68" s="63">
        <f t="shared" ca="1" si="68"/>
        <v>0</v>
      </c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</row>
    <row r="69" spans="1:60" ht="15.75" thickBot="1" x14ac:dyDescent="0.3">
      <c r="A69" s="75">
        <f>'Grid Sizes, Locations, and GHGs'!D14</f>
        <v>0</v>
      </c>
      <c r="B69" s="77">
        <f>MIN(A69,'Dashboard and Input Variables'!$B$39)</f>
        <v>0</v>
      </c>
      <c r="C69" s="28" t="str">
        <f>'Grid Sizes, Locations, and GHGs'!A14</f>
        <v>unused</v>
      </c>
      <c r="D69" s="26">
        <v>0</v>
      </c>
      <c r="E69" s="69">
        <f t="shared" ref="E69:AR69" si="69">E43-E56</f>
        <v>0</v>
      </c>
      <c r="F69" s="69">
        <f t="shared" ca="1" si="69"/>
        <v>0</v>
      </c>
      <c r="G69" s="69">
        <f t="shared" ca="1" si="69"/>
        <v>0</v>
      </c>
      <c r="H69" s="69">
        <f t="shared" ca="1" si="69"/>
        <v>0</v>
      </c>
      <c r="I69" s="69">
        <f t="shared" ca="1" si="69"/>
        <v>0</v>
      </c>
      <c r="J69" s="69">
        <f t="shared" ca="1" si="69"/>
        <v>0</v>
      </c>
      <c r="K69" s="69">
        <f t="shared" ca="1" si="69"/>
        <v>0</v>
      </c>
      <c r="L69" s="69">
        <f t="shared" ca="1" si="69"/>
        <v>0</v>
      </c>
      <c r="M69" s="69">
        <f t="shared" ca="1" si="69"/>
        <v>0</v>
      </c>
      <c r="N69" s="69">
        <f t="shared" ca="1" si="69"/>
        <v>0</v>
      </c>
      <c r="O69" s="69">
        <f t="shared" ca="1" si="69"/>
        <v>0</v>
      </c>
      <c r="P69" s="69">
        <f t="shared" ca="1" si="69"/>
        <v>0</v>
      </c>
      <c r="Q69" s="69">
        <f t="shared" ca="1" si="69"/>
        <v>0</v>
      </c>
      <c r="R69" s="69">
        <f t="shared" ca="1" si="69"/>
        <v>0</v>
      </c>
      <c r="S69" s="69">
        <f t="shared" ca="1" si="69"/>
        <v>0</v>
      </c>
      <c r="T69" s="69">
        <f t="shared" ca="1" si="69"/>
        <v>0</v>
      </c>
      <c r="U69" s="69">
        <f t="shared" ca="1" si="69"/>
        <v>0</v>
      </c>
      <c r="V69" s="69">
        <f t="shared" ca="1" si="69"/>
        <v>0</v>
      </c>
      <c r="W69" s="69">
        <f t="shared" ca="1" si="69"/>
        <v>0</v>
      </c>
      <c r="X69" s="69">
        <f t="shared" ca="1" si="69"/>
        <v>0</v>
      </c>
      <c r="Y69" s="69">
        <f t="shared" ca="1" si="69"/>
        <v>0</v>
      </c>
      <c r="Z69" s="69">
        <f t="shared" ca="1" si="69"/>
        <v>0</v>
      </c>
      <c r="AA69" s="69">
        <f t="shared" ca="1" si="69"/>
        <v>0</v>
      </c>
      <c r="AB69" s="69">
        <f t="shared" ca="1" si="69"/>
        <v>0</v>
      </c>
      <c r="AC69" s="69">
        <f t="shared" ca="1" si="69"/>
        <v>0</v>
      </c>
      <c r="AD69" s="69">
        <f t="shared" ca="1" si="69"/>
        <v>0</v>
      </c>
      <c r="AE69" s="69">
        <f t="shared" ca="1" si="69"/>
        <v>0</v>
      </c>
      <c r="AF69" s="69">
        <f t="shared" ca="1" si="69"/>
        <v>0</v>
      </c>
      <c r="AG69" s="69">
        <f t="shared" ca="1" si="69"/>
        <v>0</v>
      </c>
      <c r="AH69" s="69">
        <f t="shared" ca="1" si="69"/>
        <v>0</v>
      </c>
      <c r="AI69" s="69">
        <f t="shared" ca="1" si="69"/>
        <v>0</v>
      </c>
      <c r="AJ69" s="69">
        <f t="shared" ca="1" si="69"/>
        <v>0</v>
      </c>
      <c r="AK69" s="69">
        <f t="shared" ca="1" si="69"/>
        <v>0</v>
      </c>
      <c r="AL69" s="69">
        <f t="shared" ca="1" si="69"/>
        <v>0</v>
      </c>
      <c r="AM69" s="69">
        <f t="shared" ca="1" si="69"/>
        <v>0</v>
      </c>
      <c r="AN69" s="69">
        <f t="shared" ca="1" si="69"/>
        <v>0</v>
      </c>
      <c r="AO69" s="69">
        <f t="shared" ca="1" si="69"/>
        <v>0</v>
      </c>
      <c r="AP69" s="69">
        <f t="shared" ca="1" si="69"/>
        <v>0</v>
      </c>
      <c r="AQ69" s="69">
        <f t="shared" ca="1" si="69"/>
        <v>0</v>
      </c>
      <c r="AR69" s="86">
        <f t="shared" ca="1" si="69"/>
        <v>0</v>
      </c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</row>
    <row r="70" spans="1:60" s="18" customFormat="1" ht="15.75" thickBot="1" x14ac:dyDescent="0.3"/>
    <row r="71" spans="1:60" s="18" customFormat="1" ht="18.75" x14ac:dyDescent="0.3">
      <c r="C71" s="125" t="s">
        <v>202</v>
      </c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7"/>
    </row>
    <row r="72" spans="1:60" s="18" customFormat="1" x14ac:dyDescent="0.25">
      <c r="C72" s="45" t="s">
        <v>190</v>
      </c>
      <c r="D72" s="9"/>
      <c r="E72" s="46">
        <f>'Dashboard and Input Variables'!$B$54*'Cumulative 40yr Model'!E3</f>
        <v>8197968000</v>
      </c>
      <c r="F72" s="46">
        <f>'Dashboard and Input Variables'!$B$54*'Cumulative 40yr Model'!F3</f>
        <v>8279947680</v>
      </c>
      <c r="G72" s="46">
        <f>'Dashboard and Input Variables'!$B$54*'Cumulative 40yr Model'!G3</f>
        <v>8362747156.7999992</v>
      </c>
      <c r="H72" s="46">
        <f>'Dashboard and Input Variables'!$B$54*'Cumulative 40yr Model'!H3</f>
        <v>8446374628.368</v>
      </c>
      <c r="I72" s="46">
        <f>'Dashboard and Input Variables'!$B$54*'Cumulative 40yr Model'!I3</f>
        <v>8530838374.65168</v>
      </c>
      <c r="J72" s="46">
        <f>'Dashboard and Input Variables'!$B$54*'Cumulative 40yr Model'!J3</f>
        <v>8616146758.3981972</v>
      </c>
      <c r="K72" s="46">
        <f>'Dashboard and Input Variables'!$B$54*'Cumulative 40yr Model'!K3</f>
        <v>8702308225.9821777</v>
      </c>
      <c r="L72" s="46">
        <f>'Dashboard and Input Variables'!$B$54*'Cumulative 40yr Model'!L3</f>
        <v>8789331308.2420006</v>
      </c>
      <c r="M72" s="46">
        <f>'Dashboard and Input Variables'!$B$54*'Cumulative 40yr Model'!M3</f>
        <v>8877224621.3244209</v>
      </c>
      <c r="N72" s="46">
        <f>'Dashboard and Input Variables'!$B$54*'Cumulative 40yr Model'!N3</f>
        <v>8965996867.5376663</v>
      </c>
      <c r="O72" s="46">
        <f>'Dashboard and Input Variables'!$B$54*'Cumulative 40yr Model'!O3</f>
        <v>9055656836.2130432</v>
      </c>
      <c r="P72" s="46">
        <f>'Dashboard and Input Variables'!$B$54*'Cumulative 40yr Model'!P3</f>
        <v>9146213404.5751724</v>
      </c>
      <c r="Q72" s="46">
        <f>'Dashboard and Input Variables'!$B$54*'Cumulative 40yr Model'!Q3</f>
        <v>9237675538.6209259</v>
      </c>
      <c r="R72" s="46">
        <f>'Dashboard and Input Variables'!$B$54*'Cumulative 40yr Model'!R3</f>
        <v>9330052294.0071335</v>
      </c>
      <c r="S72" s="46">
        <f>'Dashboard and Input Variables'!$B$54*'Cumulative 40yr Model'!S3</f>
        <v>9423352816.9472065</v>
      </c>
      <c r="T72" s="46">
        <f>'Dashboard and Input Variables'!$B$54*'Cumulative 40yr Model'!T3</f>
        <v>9517586345.1166801</v>
      </c>
      <c r="U72" s="46">
        <f>'Dashboard and Input Variables'!$B$54*'Cumulative 40yr Model'!U3</f>
        <v>9612762208.5678463</v>
      </c>
      <c r="V72" s="46">
        <f>'Dashboard and Input Variables'!$B$54*'Cumulative 40yr Model'!V3</f>
        <v>9708889830.6535244</v>
      </c>
      <c r="W72" s="46">
        <f>'Dashboard and Input Variables'!$B$54*'Cumulative 40yr Model'!W3</f>
        <v>9805978728.9600601</v>
      </c>
      <c r="X72" s="46">
        <f>'Dashboard and Input Variables'!$B$54*'Cumulative 40yr Model'!X3</f>
        <v>9904038516.2496605</v>
      </c>
      <c r="Y72" s="46">
        <f>'Dashboard and Input Variables'!$B$54*'Cumulative 40yr Model'!Y3</f>
        <v>10003078901.412159</v>
      </c>
      <c r="Z72" s="46">
        <f>'Dashboard and Input Variables'!$B$54*'Cumulative 40yr Model'!Z3</f>
        <v>10103109690.426279</v>
      </c>
      <c r="AA72" s="46">
        <f>'Dashboard and Input Variables'!$B$54*'Cumulative 40yr Model'!AA3</f>
        <v>10204140787.330544</v>
      </c>
      <c r="AB72" s="46">
        <f>'Dashboard and Input Variables'!$B$54*'Cumulative 40yr Model'!AB3</f>
        <v>10306182195.203848</v>
      </c>
      <c r="AC72" s="46">
        <f>'Dashboard and Input Variables'!$B$54*'Cumulative 40yr Model'!AC3</f>
        <v>10409244017.155888</v>
      </c>
      <c r="AD72" s="46">
        <f>'Dashboard and Input Variables'!$B$54*'Cumulative 40yr Model'!AD3</f>
        <v>10513336457.327446</v>
      </c>
      <c r="AE72" s="46">
        <f>'Dashboard and Input Variables'!$B$54*'Cumulative 40yr Model'!AE3</f>
        <v>10618469821.900719</v>
      </c>
      <c r="AF72" s="46">
        <f>'Dashboard and Input Variables'!$B$54*'Cumulative 40yr Model'!AF3</f>
        <v>10724654520.119726</v>
      </c>
      <c r="AG72" s="46">
        <f>'Dashboard and Input Variables'!$B$54*'Cumulative 40yr Model'!AG3</f>
        <v>10831901065.320925</v>
      </c>
      <c r="AH72" s="46">
        <f>'Dashboard and Input Variables'!$B$54*'Cumulative 40yr Model'!AH3</f>
        <v>10940220075.974134</v>
      </c>
      <c r="AI72" s="46">
        <f>'Dashboard and Input Variables'!$B$54*'Cumulative 40yr Model'!AI3</f>
        <v>11049622276.733875</v>
      </c>
      <c r="AJ72" s="46">
        <f>'Dashboard and Input Variables'!$B$54*'Cumulative 40yr Model'!AJ3</f>
        <v>11160118499.501215</v>
      </c>
      <c r="AK72" s="46">
        <f>'Dashboard and Input Variables'!$B$54*'Cumulative 40yr Model'!AK3</f>
        <v>11271719684.496227</v>
      </c>
      <c r="AL72" s="46">
        <f>'Dashboard and Input Variables'!$B$54*'Cumulative 40yr Model'!AL3</f>
        <v>11384436881.34119</v>
      </c>
      <c r="AM72" s="46">
        <f>'Dashboard and Input Variables'!$B$54*'Cumulative 40yr Model'!AM3</f>
        <v>11498281250.154602</v>
      </c>
      <c r="AN72" s="46">
        <f>'Dashboard and Input Variables'!$B$54*'Cumulative 40yr Model'!AN3</f>
        <v>11613264062.656147</v>
      </c>
      <c r="AO72" s="46">
        <f>'Dashboard and Input Variables'!$B$54*'Cumulative 40yr Model'!AO3</f>
        <v>11729396703.282709</v>
      </c>
      <c r="AP72" s="46">
        <f>'Dashboard and Input Variables'!$B$54*'Cumulative 40yr Model'!AP3</f>
        <v>11846690670.315536</v>
      </c>
      <c r="AQ72" s="46">
        <f>'Dashboard and Input Variables'!$B$54*'Cumulative 40yr Model'!AQ3</f>
        <v>11965157577.018692</v>
      </c>
      <c r="AR72" s="47">
        <f>'Dashboard and Input Variables'!$B$54*'Cumulative 40yr Model'!AR3</f>
        <v>12084809152.788879</v>
      </c>
    </row>
    <row r="73" spans="1:60" s="18" customFormat="1" x14ac:dyDescent="0.25">
      <c r="C73" s="45" t="s">
        <v>191</v>
      </c>
      <c r="D73" s="9">
        <f>D10*10^6*365*24*('Dashboard and Input Variables'!$B$55-'Dashboard and Input Variables'!$F$15)</f>
        <v>0</v>
      </c>
      <c r="E73" s="46">
        <f>E10*10^6*365*24*('Dashboard and Input Variables'!$B$55-'Dashboard and Input Variables'!$F$15)</f>
        <v>459467840</v>
      </c>
      <c r="F73" s="46">
        <f ca="1">F10*10^6*365*24*('Dashboard and Input Variables'!$B$55-'Dashboard and Input Variables'!$F$15)</f>
        <v>908805954.23812866</v>
      </c>
      <c r="G73" s="46">
        <f ca="1">G10*10^6*365*24*('Dashboard and Input Variables'!$B$55-'Dashboard and Input Variables'!$F$15)</f>
        <v>1348306771.7357643</v>
      </c>
      <c r="H73" s="46">
        <f ca="1">H10*10^6*365*24*('Dashboard and Input Variables'!$B$55-'Dashboard and Input Variables'!$F$15)</f>
        <v>1745241735.4344516</v>
      </c>
      <c r="I73" s="46">
        <f ca="1">I10*10^6*365*24*('Dashboard and Input Variables'!$B$55-'Dashboard and Input Variables'!$F$15)</f>
        <v>2144752111.3084414</v>
      </c>
      <c r="J73" s="46">
        <f ca="1">J10*10^6*365*24*('Dashboard and Input Variables'!$B$55-'Dashboard and Input Variables'!$F$15)</f>
        <v>2541496357.9716597</v>
      </c>
      <c r="K73" s="46">
        <f ca="1">K10*10^6*365*24*('Dashboard and Input Variables'!$B$55-'Dashboard and Input Variables'!$F$15)</f>
        <v>2936204572.6579552</v>
      </c>
      <c r="L73" s="46">
        <f ca="1">L10*10^6*365*24*('Dashboard and Input Variables'!$B$55-'Dashboard and Input Variables'!$F$15)</f>
        <v>3328875553.8957267</v>
      </c>
      <c r="M73" s="46">
        <f ca="1">M10*10^6*365*24*('Dashboard and Input Variables'!$B$55-'Dashboard and Input Variables'!$F$15)</f>
        <v>3719595149.6111169</v>
      </c>
      <c r="N73" s="46">
        <f ca="1">N10*10^6*365*24*('Dashboard and Input Variables'!$B$55-'Dashboard and Input Variables'!$F$15)</f>
        <v>4108437837.395494</v>
      </c>
      <c r="O73" s="46">
        <f ca="1">O10*10^6*365*24*('Dashboard and Input Variables'!$B$55-'Dashboard and Input Variables'!$F$15)</f>
        <v>4495478582.8826876</v>
      </c>
      <c r="P73" s="46">
        <f ca="1">P10*10^6*365*24*('Dashboard and Input Variables'!$B$55-'Dashboard and Input Variables'!$F$15)</f>
        <v>4880791432.461421</v>
      </c>
      <c r="Q73" s="46">
        <f ca="1">Q10*10^6*365*24*('Dashboard and Input Variables'!$B$55-'Dashboard and Input Variables'!$F$15)</f>
        <v>5264449701.4592066</v>
      </c>
      <c r="R73" s="46">
        <f ca="1">R10*10^6*365*24*('Dashboard and Input Variables'!$B$55-'Dashboard and Input Variables'!$F$15)</f>
        <v>5646525970.1502295</v>
      </c>
      <c r="S73" s="46">
        <f ca="1">S10*10^6*365*24*('Dashboard and Input Variables'!$B$55-'Dashboard and Input Variables'!$F$15)</f>
        <v>6027092102.6286983</v>
      </c>
      <c r="T73" s="46">
        <f ca="1">T10*10^6*365*24*('Dashboard and Input Variables'!$B$55-'Dashboard and Input Variables'!$F$15)</f>
        <v>6406219262.6848145</v>
      </c>
      <c r="U73" s="46">
        <f ca="1">U10*10^6*365*24*('Dashboard and Input Variables'!$B$55-'Dashboard and Input Variables'!$F$15)</f>
        <v>6783977929.798934</v>
      </c>
      <c r="V73" s="46">
        <f ca="1">V10*10^6*365*24*('Dashboard and Input Variables'!$B$55-'Dashboard and Input Variables'!$F$15)</f>
        <v>7160437914.8835144</v>
      </c>
      <c r="W73" s="46">
        <f ca="1">W10*10^6*365*24*('Dashboard and Input Variables'!$B$55-'Dashboard and Input Variables'!$F$15)</f>
        <v>7535668375.8218861</v>
      </c>
      <c r="X73" s="46">
        <f ca="1">X10*10^6*365*24*('Dashboard and Input Variables'!$B$55-'Dashboard and Input Variables'!$F$15)</f>
        <v>7909737832.8021326</v>
      </c>
      <c r="Y73" s="46">
        <f ca="1">Y10*10^6*365*24*('Dashboard and Input Variables'!$B$55-'Dashboard and Input Variables'!$F$15)</f>
        <v>7823246343.4506054</v>
      </c>
      <c r="Z73" s="46">
        <f ca="1">Z10*10^6*365*24*('Dashboard and Input Variables'!$B$55-'Dashboard and Input Variables'!$F$15)</f>
        <v>7808563495.0423107</v>
      </c>
      <c r="AA73" s="46">
        <f ca="1">AA10*10^6*365*24*('Dashboard and Input Variables'!$B$55-'Dashboard and Input Variables'!$F$15)</f>
        <v>7801148456.5705605</v>
      </c>
      <c r="AB73" s="46">
        <f ca="1">AB10*10^6*365*24*('Dashboard and Input Variables'!$B$55-'Dashboard and Input Variables'!$F$15)</f>
        <v>7841292664.9676533</v>
      </c>
      <c r="AC73" s="46">
        <f ca="1">AC10*10^6*365*24*('Dashboard and Input Variables'!$B$55-'Dashboard and Input Variables'!$F$15)</f>
        <v>7878281615.6155605</v>
      </c>
      <c r="AD73" s="46">
        <f ca="1">AD10*10^6*365*24*('Dashboard and Input Variables'!$B$55-'Dashboard and Input Variables'!$F$15)</f>
        <v>7923573563.2937784</v>
      </c>
      <c r="AE73" s="46">
        <f ca="1">AE10*10^6*365*24*('Dashboard and Input Variables'!$B$55-'Dashboard and Input Variables'!$F$15)</f>
        <v>7974990214.7282581</v>
      </c>
      <c r="AF73" s="46">
        <f ca="1">AF10*10^6*365*24*('Dashboard and Input Variables'!$B$55-'Dashboard and Input Variables'!$F$15)</f>
        <v>8032738450.0087776</v>
      </c>
      <c r="AG73" s="46">
        <f ca="1">AG10*10^6*365*24*('Dashboard and Input Variables'!$B$55-'Dashboard and Input Variables'!$F$15)</f>
        <v>8096652667.9840498</v>
      </c>
      <c r="AH73" s="46">
        <f ca="1">AH10*10^6*365*24*('Dashboard and Input Variables'!$B$55-'Dashboard and Input Variables'!$F$15)</f>
        <v>8166626315.9600296</v>
      </c>
      <c r="AI73" s="46">
        <f ca="1">AI10*10^6*365*24*('Dashboard and Input Variables'!$B$55-'Dashboard and Input Variables'!$F$15)</f>
        <v>8242547897.9148121</v>
      </c>
      <c r="AJ73" s="46">
        <f ca="1">AJ10*10^6*365*24*('Dashboard and Input Variables'!$B$55-'Dashboard and Input Variables'!$F$15)</f>
        <v>8324310050.4477148</v>
      </c>
      <c r="AK73" s="46">
        <f ca="1">AK10*10^6*365*24*('Dashboard and Input Variables'!$B$55-'Dashboard and Input Variables'!$F$15)</f>
        <v>8411808211.6645823</v>
      </c>
      <c r="AL73" s="46">
        <f ca="1">AL10*10^6*365*24*('Dashboard and Input Variables'!$B$55-'Dashboard and Input Variables'!$F$15)</f>
        <v>8504940738.0432272</v>
      </c>
      <c r="AM73" s="46">
        <f ca="1">AM10*10^6*365*24*('Dashboard and Input Variables'!$B$55-'Dashboard and Input Variables'!$F$15)</f>
        <v>8603608825.0165291</v>
      </c>
      <c r="AN73" s="46">
        <f ca="1">AN10*10^6*365*24*('Dashboard and Input Variables'!$B$55-'Dashboard and Input Variables'!$F$15)</f>
        <v>8707716455.2834187</v>
      </c>
      <c r="AO73" s="46">
        <f ca="1">AO10*10^6*365*24*('Dashboard and Input Variables'!$B$55-'Dashboard and Input Variables'!$F$15)</f>
        <v>8817170344.719799</v>
      </c>
      <c r="AP73" s="46">
        <f ca="1">AP10*10^6*365*24*('Dashboard and Input Variables'!$B$55-'Dashboard and Input Variables'!$F$15)</f>
        <v>8931879889.8694782</v>
      </c>
      <c r="AQ73" s="46">
        <f ca="1">AQ10*10^6*365*24*('Dashboard and Input Variables'!$B$55-'Dashboard and Input Variables'!$F$15)</f>
        <v>9051757116.4670162</v>
      </c>
      <c r="AR73" s="47">
        <f ca="1">AR10*10^6*365*24*('Dashboard and Input Variables'!$B$55-'Dashboard and Input Variables'!$F$15)</f>
        <v>9176716629.0409718</v>
      </c>
    </row>
    <row r="74" spans="1:60" s="18" customFormat="1" x14ac:dyDescent="0.25">
      <c r="C74" s="45" t="s">
        <v>193</v>
      </c>
      <c r="D74" s="46">
        <f>-SUM(D21:D24)*10^9</f>
        <v>-8793199999.9999981</v>
      </c>
      <c r="E74" s="46">
        <f ca="1">-SUM(E21:E24)*10^9</f>
        <v>-8881131999.9999981</v>
      </c>
      <c r="F74" s="46">
        <f t="shared" ref="F74:AR74" ca="1" si="70">-SUM(F21:F24)*10^9</f>
        <v>-8969943320</v>
      </c>
      <c r="G74" s="46">
        <f t="shared" ca="1" si="70"/>
        <v>-9059642753.1999969</v>
      </c>
      <c r="H74" s="46">
        <f t="shared" ca="1" si="70"/>
        <v>-9150239180.7320004</v>
      </c>
      <c r="I74" s="46">
        <f t="shared" ca="1" si="70"/>
        <v>-9241741572.53932</v>
      </c>
      <c r="J74" s="46">
        <f t="shared" ca="1" si="70"/>
        <v>-9334158988.2647152</v>
      </c>
      <c r="K74" s="46">
        <f t="shared" ca="1" si="70"/>
        <v>-9427500578.1473598</v>
      </c>
      <c r="L74" s="46">
        <f t="shared" ca="1" si="70"/>
        <v>-9521775583.9288349</v>
      </c>
      <c r="M74" s="46">
        <f t="shared" ca="1" si="70"/>
        <v>-9616993339.7681217</v>
      </c>
      <c r="N74" s="46">
        <f t="shared" ca="1" si="70"/>
        <v>-9713163273.1658039</v>
      </c>
      <c r="O74" s="46">
        <f t="shared" ca="1" si="70"/>
        <v>-9810294905.8974609</v>
      </c>
      <c r="P74" s="46">
        <f t="shared" ca="1" si="70"/>
        <v>-9908397854.9564381</v>
      </c>
      <c r="Q74" s="46">
        <f t="shared" ca="1" si="70"/>
        <v>-10007481833.506002</v>
      </c>
      <c r="R74" s="46">
        <f t="shared" ca="1" si="70"/>
        <v>-10107556651.841064</v>
      </c>
      <c r="S74" s="46">
        <f t="shared" ca="1" si="70"/>
        <v>-10208632218.359472</v>
      </c>
      <c r="T74" s="46">
        <f t="shared" ca="1" si="70"/>
        <v>-10310718540.54307</v>
      </c>
      <c r="U74" s="46">
        <f t="shared" ca="1" si="70"/>
        <v>-10413825725.948502</v>
      </c>
      <c r="V74" s="46">
        <f t="shared" ca="1" si="70"/>
        <v>-10517963983.207985</v>
      </c>
      <c r="W74" s="46">
        <f t="shared" ca="1" si="70"/>
        <v>-10623143623.040066</v>
      </c>
      <c r="X74" s="46">
        <f t="shared" ca="1" si="70"/>
        <v>-10729375059.270468</v>
      </c>
      <c r="Y74" s="46">
        <f t="shared" ca="1" si="70"/>
        <v>-10836668809.863173</v>
      </c>
      <c r="Z74" s="46">
        <f t="shared" ca="1" si="70"/>
        <v>-10945035497.961803</v>
      </c>
      <c r="AA74" s="46">
        <f t="shared" ca="1" si="70"/>
        <v>-11054485852.941418</v>
      </c>
      <c r="AB74" s="46">
        <f t="shared" ca="1" si="70"/>
        <v>-11165030711.470835</v>
      </c>
      <c r="AC74" s="46">
        <f t="shared" ca="1" si="70"/>
        <v>-11276681018.585545</v>
      </c>
      <c r="AD74" s="46">
        <f t="shared" ca="1" si="70"/>
        <v>-11389447828.771399</v>
      </c>
      <c r="AE74" s="46">
        <f t="shared" ca="1" si="70"/>
        <v>-11503342307.059111</v>
      </c>
      <c r="AF74" s="46">
        <f t="shared" ca="1" si="70"/>
        <v>-11618375730.129702</v>
      </c>
      <c r="AG74" s="46">
        <f t="shared" ca="1" si="70"/>
        <v>-11734559487.431002</v>
      </c>
      <c r="AH74" s="46">
        <f t="shared" ca="1" si="70"/>
        <v>-11851905082.305313</v>
      </c>
      <c r="AI74" s="46">
        <f t="shared" ca="1" si="70"/>
        <v>-11970424133.128363</v>
      </c>
      <c r="AJ74" s="46">
        <f t="shared" ca="1" si="70"/>
        <v>-12090128374.459648</v>
      </c>
      <c r="AK74" s="46">
        <f t="shared" ca="1" si="70"/>
        <v>-12211029658.204247</v>
      </c>
      <c r="AL74" s="46">
        <f t="shared" ca="1" si="70"/>
        <v>-12333139954.786289</v>
      </c>
      <c r="AM74" s="46">
        <f t="shared" ca="1" si="70"/>
        <v>-12456471354.334152</v>
      </c>
      <c r="AN74" s="46">
        <f t="shared" ca="1" si="70"/>
        <v>-12581036067.877493</v>
      </c>
      <c r="AO74" s="46">
        <f t="shared" ca="1" si="70"/>
        <v>-12706846428.556271</v>
      </c>
      <c r="AP74" s="46">
        <f t="shared" ca="1" si="70"/>
        <v>-12833914892.841833</v>
      </c>
      <c r="AQ74" s="46">
        <f t="shared" ca="1" si="70"/>
        <v>-12962254041.770247</v>
      </c>
      <c r="AR74" s="47">
        <f t="shared" ca="1" si="70"/>
        <v>-13091876582.187956</v>
      </c>
    </row>
    <row r="75" spans="1:60" s="18" customFormat="1" ht="15.75" thickBot="1" x14ac:dyDescent="0.3">
      <c r="C75" s="130" t="s">
        <v>192</v>
      </c>
      <c r="D75" s="131">
        <f>SUM(D72:D74)</f>
        <v>-8793199999.9999981</v>
      </c>
      <c r="E75" s="131">
        <f ca="1">SUM(E72:E74)</f>
        <v>-223696159.99999809</v>
      </c>
      <c r="F75" s="131">
        <f t="shared" ref="F75:AR75" ca="1" si="71">SUM(F72:F74)</f>
        <v>218810314.23812866</v>
      </c>
      <c r="G75" s="131">
        <f t="shared" ca="1" si="71"/>
        <v>651411175.33576584</v>
      </c>
      <c r="H75" s="131">
        <f t="shared" ca="1" si="71"/>
        <v>1041377183.0704517</v>
      </c>
      <c r="I75" s="131">
        <f t="shared" ca="1" si="71"/>
        <v>1433848913.4208012</v>
      </c>
      <c r="J75" s="131">
        <f t="shared" ca="1" si="71"/>
        <v>1823484128.1051426</v>
      </c>
      <c r="K75" s="131">
        <f t="shared" ca="1" si="71"/>
        <v>2211012220.4927731</v>
      </c>
      <c r="L75" s="131">
        <f t="shared" ca="1" si="71"/>
        <v>2596431278.2088928</v>
      </c>
      <c r="M75" s="131">
        <f t="shared" ca="1" si="71"/>
        <v>2979826431.1674156</v>
      </c>
      <c r="N75" s="131">
        <f t="shared" ca="1" si="71"/>
        <v>3361271431.7673569</v>
      </c>
      <c r="O75" s="131">
        <f t="shared" ca="1" si="71"/>
        <v>3740840513.1982689</v>
      </c>
      <c r="P75" s="131">
        <f t="shared" ca="1" si="71"/>
        <v>4118606982.0801563</v>
      </c>
      <c r="Q75" s="131">
        <f t="shared" ca="1" si="71"/>
        <v>4494643406.5741291</v>
      </c>
      <c r="R75" s="131">
        <f t="shared" ca="1" si="71"/>
        <v>4869021612.3162994</v>
      </c>
      <c r="S75" s="131">
        <f t="shared" ca="1" si="71"/>
        <v>5241812701.2164326</v>
      </c>
      <c r="T75" s="131">
        <f t="shared" ca="1" si="71"/>
        <v>5613087067.2584248</v>
      </c>
      <c r="U75" s="131">
        <f t="shared" ca="1" si="71"/>
        <v>5982914412.4182777</v>
      </c>
      <c r="V75" s="131">
        <f t="shared" ca="1" si="71"/>
        <v>6351363762.3290539</v>
      </c>
      <c r="W75" s="131">
        <f t="shared" ca="1" si="71"/>
        <v>6718503481.7418785</v>
      </c>
      <c r="X75" s="131">
        <f t="shared" ca="1" si="71"/>
        <v>7084401289.7813244</v>
      </c>
      <c r="Y75" s="131">
        <f t="shared" ca="1" si="71"/>
        <v>6989656434.9995899</v>
      </c>
      <c r="Z75" s="131">
        <f t="shared" ca="1" si="71"/>
        <v>6966637687.5067863</v>
      </c>
      <c r="AA75" s="131">
        <f t="shared" ca="1" si="71"/>
        <v>6950803390.9596863</v>
      </c>
      <c r="AB75" s="131">
        <f t="shared" ca="1" si="71"/>
        <v>6982444148.7006664</v>
      </c>
      <c r="AC75" s="131">
        <f t="shared" ca="1" si="71"/>
        <v>7010844614.1859016</v>
      </c>
      <c r="AD75" s="131">
        <f t="shared" ca="1" si="71"/>
        <v>7047462191.8498249</v>
      </c>
      <c r="AE75" s="131">
        <f t="shared" ca="1" si="71"/>
        <v>7090117729.5698643</v>
      </c>
      <c r="AF75" s="131">
        <f t="shared" ca="1" si="71"/>
        <v>7139017239.9988003</v>
      </c>
      <c r="AG75" s="131">
        <f t="shared" ca="1" si="71"/>
        <v>7193994245.8739719</v>
      </c>
      <c r="AH75" s="131">
        <f t="shared" ca="1" si="71"/>
        <v>7254941309.6288528</v>
      </c>
      <c r="AI75" s="131">
        <f t="shared" ca="1" si="71"/>
        <v>7321746041.5203266</v>
      </c>
      <c r="AJ75" s="131">
        <f t="shared" ca="1" si="71"/>
        <v>7394300175.4892807</v>
      </c>
      <c r="AK75" s="131">
        <f t="shared" ca="1" si="71"/>
        <v>7472498237.956562</v>
      </c>
      <c r="AL75" s="131">
        <f t="shared" ca="1" si="71"/>
        <v>7556237664.5981293</v>
      </c>
      <c r="AM75" s="131">
        <f t="shared" ca="1" si="71"/>
        <v>7645418720.8369789</v>
      </c>
      <c r="AN75" s="131">
        <f t="shared" ca="1" si="71"/>
        <v>7739944450.0620747</v>
      </c>
      <c r="AO75" s="131">
        <f t="shared" ca="1" si="71"/>
        <v>7839720619.4462395</v>
      </c>
      <c r="AP75" s="131">
        <f t="shared" ca="1" si="71"/>
        <v>7944655667.3431797</v>
      </c>
      <c r="AQ75" s="131">
        <f t="shared" ca="1" si="71"/>
        <v>8054660651.7154636</v>
      </c>
      <c r="AR75" s="132">
        <f t="shared" ca="1" si="71"/>
        <v>8169649199.6418934</v>
      </c>
    </row>
    <row r="76" spans="1:60" s="18" customFormat="1" x14ac:dyDescent="0.25"/>
    <row r="77" spans="1:60" s="18" customFormat="1" x14ac:dyDescent="0.25"/>
    <row r="78" spans="1:60" s="18" customFormat="1" x14ac:dyDescent="0.25"/>
    <row r="79" spans="1:60" s="18" customFormat="1" x14ac:dyDescent="0.25"/>
    <row r="80" spans="1:6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  <row r="328" s="18" customFormat="1" x14ac:dyDescent="0.25"/>
    <row r="329" s="18" customFormat="1" x14ac:dyDescent="0.25"/>
    <row r="330" s="18" customFormat="1" x14ac:dyDescent="0.25"/>
    <row r="331" s="18" customFormat="1" x14ac:dyDescent="0.25"/>
    <row r="332" s="18" customFormat="1" x14ac:dyDescent="0.25"/>
    <row r="333" s="18" customFormat="1" x14ac:dyDescent="0.25"/>
    <row r="334" s="18" customFormat="1" x14ac:dyDescent="0.25"/>
    <row r="335" s="18" customFormat="1" x14ac:dyDescent="0.25"/>
    <row r="336" s="18" customFormat="1" x14ac:dyDescent="0.25"/>
    <row r="337" s="18" customFormat="1" x14ac:dyDescent="0.25"/>
    <row r="338" s="18" customFormat="1" x14ac:dyDescent="0.25"/>
    <row r="339" s="18" customFormat="1" x14ac:dyDescent="0.25"/>
    <row r="340" s="18" customFormat="1" x14ac:dyDescent="0.25"/>
    <row r="341" s="18" customFormat="1" x14ac:dyDescent="0.25"/>
    <row r="342" s="18" customFormat="1" x14ac:dyDescent="0.25"/>
    <row r="343" s="18" customFormat="1" x14ac:dyDescent="0.25"/>
    <row r="344" s="18" customFormat="1" x14ac:dyDescent="0.25"/>
    <row r="345" s="18" customFormat="1" x14ac:dyDescent="0.25"/>
    <row r="346" s="18" customFormat="1" x14ac:dyDescent="0.25"/>
    <row r="347" s="18" customFormat="1" x14ac:dyDescent="0.25"/>
    <row r="348" s="18" customFormat="1" x14ac:dyDescent="0.25"/>
    <row r="349" s="18" customFormat="1" x14ac:dyDescent="0.25"/>
    <row r="350" s="18" customFormat="1" x14ac:dyDescent="0.25"/>
    <row r="351" s="18" customFormat="1" x14ac:dyDescent="0.25"/>
    <row r="352" s="18" customFormat="1" x14ac:dyDescent="0.25"/>
    <row r="353" s="18" customFormat="1" x14ac:dyDescent="0.25"/>
    <row r="354" s="18" customFormat="1" x14ac:dyDescent="0.25"/>
    <row r="355" s="18" customFormat="1" x14ac:dyDescent="0.25"/>
    <row r="356" s="18" customFormat="1" x14ac:dyDescent="0.25"/>
    <row r="357" s="18" customFormat="1" x14ac:dyDescent="0.25"/>
    <row r="358" s="18" customFormat="1" x14ac:dyDescent="0.25"/>
    <row r="359" s="18" customFormat="1" x14ac:dyDescent="0.25"/>
    <row r="360" s="18" customFormat="1" x14ac:dyDescent="0.25"/>
    <row r="361" s="18" customFormat="1" x14ac:dyDescent="0.25"/>
    <row r="362" s="18" customFormat="1" x14ac:dyDescent="0.25"/>
    <row r="363" s="18" customFormat="1" x14ac:dyDescent="0.25"/>
    <row r="364" s="18" customFormat="1" x14ac:dyDescent="0.25"/>
    <row r="365" s="18" customFormat="1" x14ac:dyDescent="0.25"/>
    <row r="366" s="18" customFormat="1" x14ac:dyDescent="0.25"/>
    <row r="367" s="18" customFormat="1" x14ac:dyDescent="0.25"/>
    <row r="368" s="18" customFormat="1" x14ac:dyDescent="0.25"/>
    <row r="369" s="18" customFormat="1" x14ac:dyDescent="0.25"/>
    <row r="370" s="18" customFormat="1" x14ac:dyDescent="0.25"/>
    <row r="371" s="18" customFormat="1" x14ac:dyDescent="0.25"/>
    <row r="372" s="18" customFormat="1" x14ac:dyDescent="0.25"/>
    <row r="373" s="18" customFormat="1" x14ac:dyDescent="0.25"/>
    <row r="374" s="18" customFormat="1" x14ac:dyDescent="0.25"/>
    <row r="375" s="18" customFormat="1" x14ac:dyDescent="0.25"/>
    <row r="376" s="18" customFormat="1" x14ac:dyDescent="0.25"/>
    <row r="377" s="18" customFormat="1" x14ac:dyDescent="0.25"/>
    <row r="378" s="18" customFormat="1" x14ac:dyDescent="0.25"/>
    <row r="379" s="18" customFormat="1" x14ac:dyDescent="0.25"/>
    <row r="380" s="18" customFormat="1" x14ac:dyDescent="0.25"/>
    <row r="381" s="18" customFormat="1" x14ac:dyDescent="0.25"/>
  </sheetData>
  <conditionalFormatting sqref="E26:AR29 D3:AR3 E9:AR19 D20:AR20">
    <cfRule type="expression" priority="36">
      <formula>D$10&gt;SUM($D$34:$D$43)</formula>
    </cfRule>
  </conditionalFormatting>
  <conditionalFormatting sqref="D9:D13">
    <cfRule type="expression" priority="2">
      <formula>D$10&gt;SUM($D$34:$D$43)</formula>
    </cfRule>
  </conditionalFormatting>
  <conditionalFormatting sqref="D8:AR8">
    <cfRule type="expression" priority="1">
      <formula>D$10&gt;SUM($D$34:$D$43)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M2461"/>
  <sheetViews>
    <sheetView workbookViewId="0">
      <selection activeCell="A3" sqref="A3:G3"/>
    </sheetView>
  </sheetViews>
  <sheetFormatPr defaultRowHeight="15" x14ac:dyDescent="0.25"/>
  <cols>
    <col min="1" max="1" width="12.5703125" customWidth="1"/>
    <col min="2" max="2" width="15.7109375" customWidth="1"/>
    <col min="3" max="3" width="17.42578125" customWidth="1"/>
  </cols>
  <sheetData>
    <row r="1" spans="1:13" x14ac:dyDescent="0.25">
      <c r="A1" t="s">
        <v>267</v>
      </c>
      <c r="B1" s="164" t="s">
        <v>108</v>
      </c>
      <c r="C1" s="164" t="s">
        <v>68</v>
      </c>
      <c r="D1" t="s">
        <v>268</v>
      </c>
      <c r="E1" t="s">
        <v>269</v>
      </c>
      <c r="F1" t="s">
        <v>270</v>
      </c>
      <c r="G1" t="s">
        <v>206</v>
      </c>
      <c r="J1" t="s">
        <v>271</v>
      </c>
      <c r="K1" t="s">
        <v>277</v>
      </c>
      <c r="L1" t="s">
        <v>276</v>
      </c>
      <c r="M1" t="s">
        <v>272</v>
      </c>
    </row>
    <row r="2" spans="1:13" x14ac:dyDescent="0.25">
      <c r="A2">
        <f>Tarrif_bbl</f>
        <v>13</v>
      </c>
      <c r="B2">
        <f>Tarrif_kwh</f>
        <v>0</v>
      </c>
      <c r="C2">
        <f>CF</f>
        <v>0.17</v>
      </c>
      <c r="D2">
        <f ca="1">'Cumulative 40yr Model'!AR27</f>
        <v>0.97570650125321157</v>
      </c>
      <c r="E2">
        <f ca="1">'Cumulative 40yr Model'!AR28</f>
        <v>0.40092873063683893</v>
      </c>
      <c r="F2">
        <f ca="1">'Cumulative 40yr Model'!AR29</f>
        <v>0.12424464080706357</v>
      </c>
      <c r="G2" s="166">
        <f ca="1">'Dashboard and Input Variables'!B47</f>
        <v>60.367845017162018</v>
      </c>
      <c r="J2" t="s">
        <v>279</v>
      </c>
      <c r="K2" t="s">
        <v>278</v>
      </c>
      <c r="L2" t="s">
        <v>280</v>
      </c>
      <c r="M2" t="s">
        <v>273</v>
      </c>
    </row>
    <row r="3" spans="1:13" x14ac:dyDescent="0.25">
      <c r="A3">
        <v>50</v>
      </c>
      <c r="B3">
        <v>0.10000000000000002</v>
      </c>
      <c r="C3">
        <v>0.3</v>
      </c>
      <c r="D3">
        <v>4.8576946619144286</v>
      </c>
      <c r="E3">
        <v>1.9960811495272277</v>
      </c>
      <c r="F3">
        <v>0.61856975191284413</v>
      </c>
      <c r="G3" s="166">
        <v>45.185264634200628</v>
      </c>
    </row>
    <row r="4" spans="1:13" x14ac:dyDescent="0.25">
      <c r="A4">
        <v>49</v>
      </c>
      <c r="B4">
        <v>0.10000000000000002</v>
      </c>
      <c r="C4">
        <v>0.3</v>
      </c>
      <c r="D4">
        <v>4.8480390741026653</v>
      </c>
      <c r="E4">
        <v>1.9921135603393416</v>
      </c>
      <c r="F4">
        <v>0.61734022742170602</v>
      </c>
      <c r="G4" s="166">
        <v>45.071582967502337</v>
      </c>
    </row>
    <row r="5" spans="1:13" x14ac:dyDescent="0.25">
      <c r="A5">
        <v>48</v>
      </c>
      <c r="B5">
        <v>0.10000000000000002</v>
      </c>
      <c r="C5">
        <v>0.3</v>
      </c>
      <c r="D5">
        <v>4.838383486290903</v>
      </c>
      <c r="E5">
        <v>1.9881459711514553</v>
      </c>
      <c r="F5">
        <v>0.61611070293056791</v>
      </c>
      <c r="G5" s="166">
        <v>44.957447569379696</v>
      </c>
    </row>
    <row r="6" spans="1:13" x14ac:dyDescent="0.25">
      <c r="A6">
        <v>47</v>
      </c>
      <c r="B6">
        <v>0.10000000000000002</v>
      </c>
      <c r="C6">
        <v>0.3</v>
      </c>
      <c r="D6">
        <v>4.8286257766887619</v>
      </c>
      <c r="E6">
        <v>1.9841364189759962</v>
      </c>
      <c r="F6">
        <v>0.6148681744416622</v>
      </c>
      <c r="G6" s="166">
        <v>44.805101943988859</v>
      </c>
    </row>
    <row r="7" spans="1:13" x14ac:dyDescent="0.25">
      <c r="A7">
        <v>46</v>
      </c>
      <c r="B7">
        <v>0.10000000000000002</v>
      </c>
      <c r="C7">
        <v>0.3</v>
      </c>
      <c r="D7">
        <v>4.8177461799847299</v>
      </c>
      <c r="E7">
        <v>1.9796658708236721</v>
      </c>
      <c r="F7">
        <v>0.61348278694769554</v>
      </c>
      <c r="G7" s="166">
        <v>44.652475014361166</v>
      </c>
    </row>
    <row r="8" spans="1:13" x14ac:dyDescent="0.25">
      <c r="A8">
        <v>45</v>
      </c>
      <c r="B8">
        <v>0.10000000000000002</v>
      </c>
      <c r="C8">
        <v>0.3</v>
      </c>
      <c r="D8">
        <v>4.8063736307354272</v>
      </c>
      <c r="E8">
        <v>1.9749927629487409</v>
      </c>
      <c r="F8">
        <v>0.61203462779868356</v>
      </c>
      <c r="G8" s="166">
        <v>44.504372800592392</v>
      </c>
    </row>
    <row r="9" spans="1:13" x14ac:dyDescent="0.25">
      <c r="A9">
        <v>44</v>
      </c>
      <c r="B9">
        <v>0.10000000000000002</v>
      </c>
      <c r="C9">
        <v>0.3</v>
      </c>
      <c r="D9">
        <v>4.794939824599048</v>
      </c>
      <c r="E9">
        <v>1.9702944839327476</v>
      </c>
      <c r="F9">
        <v>0.6105786683122526</v>
      </c>
      <c r="G9" s="166">
        <v>44.356099304010094</v>
      </c>
    </row>
    <row r="10" spans="1:13" x14ac:dyDescent="0.25">
      <c r="A10">
        <v>43</v>
      </c>
      <c r="B10">
        <v>0.10000000000000002</v>
      </c>
      <c r="C10">
        <v>0.3</v>
      </c>
      <c r="D10">
        <v>4.7823566728217406</v>
      </c>
      <c r="E10">
        <v>1.9651239259186248</v>
      </c>
      <c r="F10">
        <v>0.60897635330176092</v>
      </c>
      <c r="G10" s="166">
        <v>44.217075045710978</v>
      </c>
    </row>
    <row r="11" spans="1:13" x14ac:dyDescent="0.25">
      <c r="A11">
        <v>42</v>
      </c>
      <c r="B11">
        <v>0.10000000000000002</v>
      </c>
      <c r="C11">
        <v>0.3</v>
      </c>
      <c r="D11">
        <v>4.7697735210444323</v>
      </c>
      <c r="E11">
        <v>1.9599533679045018</v>
      </c>
      <c r="F11">
        <v>0.60737403829126924</v>
      </c>
      <c r="G11" s="166">
        <v>44.07731726690605</v>
      </c>
    </row>
    <row r="12" spans="1:13" x14ac:dyDescent="0.25">
      <c r="A12">
        <v>41</v>
      </c>
      <c r="B12">
        <v>0.10000000000000002</v>
      </c>
      <c r="C12">
        <v>0.3</v>
      </c>
      <c r="D12">
        <v>4.7571903692671258</v>
      </c>
      <c r="E12">
        <v>1.954782809890379</v>
      </c>
      <c r="F12">
        <v>0.60577172328077755</v>
      </c>
      <c r="G12" s="166">
        <v>43.936820146932803</v>
      </c>
    </row>
    <row r="13" spans="1:13" x14ac:dyDescent="0.25">
      <c r="A13">
        <v>40</v>
      </c>
      <c r="B13">
        <v>0.10000000000000002</v>
      </c>
      <c r="C13">
        <v>0.3</v>
      </c>
      <c r="D13">
        <v>4.7445674013348649</v>
      </c>
      <c r="E13">
        <v>1.9495958909721893</v>
      </c>
      <c r="F13">
        <v>0.60416433815559034</v>
      </c>
      <c r="G13" s="166">
        <v>43.781593105510801</v>
      </c>
    </row>
    <row r="14" spans="1:13" x14ac:dyDescent="0.25">
      <c r="A14">
        <v>39</v>
      </c>
      <c r="B14">
        <v>0.10000000000000002</v>
      </c>
      <c r="C14">
        <v>0.3</v>
      </c>
      <c r="D14">
        <v>4.7311869696498761</v>
      </c>
      <c r="E14">
        <v>1.9440977217133548</v>
      </c>
      <c r="F14">
        <v>0.6024604990129695</v>
      </c>
      <c r="G14" s="166">
        <v>43.590967248694206</v>
      </c>
    </row>
    <row r="15" spans="1:13" x14ac:dyDescent="0.25">
      <c r="A15">
        <v>38</v>
      </c>
      <c r="B15">
        <v>0.10000000000000002</v>
      </c>
      <c r="C15">
        <v>0.3</v>
      </c>
      <c r="D15">
        <v>4.7165679316562006</v>
      </c>
      <c r="E15">
        <v>1.9380905952481651</v>
      </c>
      <c r="F15">
        <v>0.60059893805981812</v>
      </c>
      <c r="G15" s="166">
        <v>43.412216512913218</v>
      </c>
    </row>
    <row r="16" spans="1:13" x14ac:dyDescent="0.25">
      <c r="A16">
        <v>37</v>
      </c>
      <c r="B16">
        <v>0.10000000000000002</v>
      </c>
      <c r="C16">
        <v>0.3</v>
      </c>
      <c r="D16">
        <v>4.7017827097015061</v>
      </c>
      <c r="E16">
        <v>1.9320151819319005</v>
      </c>
      <c r="F16">
        <v>0.59871621555191812</v>
      </c>
      <c r="G16" s="166">
        <v>43.233790721866505</v>
      </c>
    </row>
    <row r="17" spans="1:7" x14ac:dyDescent="0.25">
      <c r="A17">
        <v>36</v>
      </c>
      <c r="B17">
        <v>0.10000000000000002</v>
      </c>
      <c r="C17">
        <v>0.3</v>
      </c>
      <c r="D17">
        <v>4.6857282003300949</v>
      </c>
      <c r="E17">
        <v>1.9254182041983201</v>
      </c>
      <c r="F17">
        <v>0.59667186435858011</v>
      </c>
      <c r="G17" s="166">
        <v>43.065200102470513</v>
      </c>
    </row>
    <row r="18" spans="1:7" x14ac:dyDescent="0.25">
      <c r="A18">
        <v>35</v>
      </c>
      <c r="B18">
        <v>0.10000000000000002</v>
      </c>
      <c r="C18">
        <v>0.3</v>
      </c>
      <c r="D18">
        <v>4.6696736909586827</v>
      </c>
      <c r="E18">
        <v>1.9188212264647393</v>
      </c>
      <c r="F18">
        <v>0.59462751316524209</v>
      </c>
      <c r="G18" s="166">
        <v>42.89545024161221</v>
      </c>
    </row>
    <row r="19" spans="1:7" x14ac:dyDescent="0.25">
      <c r="A19">
        <v>34</v>
      </c>
      <c r="B19">
        <v>0.10000000000000002</v>
      </c>
      <c r="C19">
        <v>0.3</v>
      </c>
      <c r="D19">
        <v>4.6535782420507941</v>
      </c>
      <c r="E19">
        <v>1.9122074262170405</v>
      </c>
      <c r="F19">
        <v>0.5925779488079066</v>
      </c>
      <c r="G19" s="166">
        <v>42.710843601517709</v>
      </c>
    </row>
    <row r="20" spans="1:7" x14ac:dyDescent="0.25">
      <c r="A20">
        <v>33</v>
      </c>
      <c r="B20">
        <v>0.10000000000000002</v>
      </c>
      <c r="C20">
        <v>0.3</v>
      </c>
      <c r="D20">
        <v>4.636356446875288</v>
      </c>
      <c r="E20">
        <v>1.9051307976713303</v>
      </c>
      <c r="F20">
        <v>0.59038495762368748</v>
      </c>
      <c r="G20" s="166">
        <v>42.48697368749162</v>
      </c>
    </row>
    <row r="21" spans="1:7" x14ac:dyDescent="0.25">
      <c r="A21">
        <v>32</v>
      </c>
      <c r="B21">
        <v>0.10000000000000002</v>
      </c>
      <c r="C21">
        <v>0.3</v>
      </c>
      <c r="D21">
        <v>4.6179094896591018</v>
      </c>
      <c r="E21">
        <v>1.8975507363195834</v>
      </c>
      <c r="F21">
        <v>0.58803595659687813</v>
      </c>
      <c r="G21" s="166">
        <v>42.27411907470831</v>
      </c>
    </row>
    <row r="22" spans="1:7" x14ac:dyDescent="0.25">
      <c r="A22">
        <v>31</v>
      </c>
      <c r="B22">
        <v>0.10000000000000002</v>
      </c>
      <c r="C22">
        <v>0.3</v>
      </c>
      <c r="D22">
        <v>4.5985318590583875</v>
      </c>
      <c r="E22">
        <v>1.8895882508492958</v>
      </c>
      <c r="F22">
        <v>0.58556844536211095</v>
      </c>
      <c r="G22" s="166">
        <v>42.067579248900103</v>
      </c>
    </row>
    <row r="23" spans="1:7" x14ac:dyDescent="0.25">
      <c r="A23">
        <v>30</v>
      </c>
      <c r="B23">
        <v>0.10000000000000002</v>
      </c>
      <c r="C23">
        <v>0.3</v>
      </c>
      <c r="D23">
        <v>4.5783980244635485</v>
      </c>
      <c r="E23">
        <v>1.8813150326872841</v>
      </c>
      <c r="F23">
        <v>0.58300464052521417</v>
      </c>
      <c r="G23" s="166">
        <v>41.865805266042166</v>
      </c>
    </row>
    <row r="24" spans="1:7" x14ac:dyDescent="0.25">
      <c r="A24">
        <v>29</v>
      </c>
      <c r="B24">
        <v>0.10000000000000002</v>
      </c>
      <c r="C24">
        <v>0.3</v>
      </c>
      <c r="D24">
        <v>4.5581986500393956</v>
      </c>
      <c r="E24">
        <v>1.8730148834752702</v>
      </c>
      <c r="F24">
        <v>0.58043248996904506</v>
      </c>
      <c r="G24" s="166">
        <v>41.641369491339518</v>
      </c>
    </row>
    <row r="25" spans="1:7" x14ac:dyDescent="0.25">
      <c r="A25">
        <v>28</v>
      </c>
      <c r="B25">
        <v>0.10000000000000002</v>
      </c>
      <c r="C25">
        <v>0.3</v>
      </c>
      <c r="D25">
        <v>4.5362046139768122</v>
      </c>
      <c r="E25">
        <v>1.8639772876933147</v>
      </c>
      <c r="F25">
        <v>0.57763181055675927</v>
      </c>
      <c r="G25" s="166">
        <v>41.383910088754348</v>
      </c>
    </row>
    <row r="26" spans="1:7" x14ac:dyDescent="0.25">
      <c r="A26">
        <v>27</v>
      </c>
      <c r="B26">
        <v>0.10000000000000002</v>
      </c>
      <c r="C26">
        <v>0.3</v>
      </c>
      <c r="D26">
        <v>4.5132491377920463</v>
      </c>
      <c r="E26">
        <v>1.8545446253956859</v>
      </c>
      <c r="F26">
        <v>0.57470870315769185</v>
      </c>
      <c r="G26" s="166">
        <v>41.133756641487807</v>
      </c>
    </row>
    <row r="27" spans="1:7" x14ac:dyDescent="0.25">
      <c r="A27">
        <v>26</v>
      </c>
      <c r="B27">
        <v>0.10000000000000002</v>
      </c>
      <c r="C27">
        <v>0.3</v>
      </c>
      <c r="D27">
        <v>4.4883564894598402</v>
      </c>
      <c r="E27">
        <v>1.8443159573636478</v>
      </c>
      <c r="F27">
        <v>0.57153891988085703</v>
      </c>
      <c r="G27" s="166">
        <v>40.897713043815465</v>
      </c>
    </row>
    <row r="28" spans="1:7" x14ac:dyDescent="0.25">
      <c r="A28">
        <v>25</v>
      </c>
      <c r="B28">
        <v>0.10000000000000002</v>
      </c>
      <c r="C28">
        <v>0.3</v>
      </c>
      <c r="D28">
        <v>4.4634032304600764</v>
      </c>
      <c r="E28">
        <v>1.8340623837293863</v>
      </c>
      <c r="F28">
        <v>0.5683614185549879</v>
      </c>
      <c r="G28" s="166">
        <v>40.640630940486631</v>
      </c>
    </row>
    <row r="29" spans="1:7" x14ac:dyDescent="0.25">
      <c r="A29">
        <v>24</v>
      </c>
      <c r="B29">
        <v>0.10000000000000002</v>
      </c>
      <c r="C29">
        <v>0.3</v>
      </c>
      <c r="D29">
        <v>4.4362641175068447</v>
      </c>
      <c r="E29">
        <v>1.8229106182210357</v>
      </c>
      <c r="F29">
        <v>0.56490557467533176</v>
      </c>
      <c r="G29" s="166">
        <v>40.343275636441163</v>
      </c>
    </row>
    <row r="30" spans="1:7" x14ac:dyDescent="0.25">
      <c r="A30">
        <v>23</v>
      </c>
      <c r="B30">
        <v>0.10000000000000002</v>
      </c>
      <c r="C30">
        <v>0.3</v>
      </c>
      <c r="D30">
        <v>4.4075217597694607</v>
      </c>
      <c r="E30">
        <v>1.8111000614723021</v>
      </c>
      <c r="F30">
        <v>0.56124557660373686</v>
      </c>
      <c r="G30" s="166">
        <v>40.057619351074443</v>
      </c>
    </row>
    <row r="31" spans="1:7" x14ac:dyDescent="0.25">
      <c r="A31">
        <v>22</v>
      </c>
      <c r="B31">
        <v>0.10000000000000002</v>
      </c>
      <c r="C31">
        <v>0.3</v>
      </c>
      <c r="D31">
        <v>4.3771111024894962</v>
      </c>
      <c r="E31">
        <v>1.7986039817542436</v>
      </c>
      <c r="F31">
        <v>0.55737314038895003</v>
      </c>
      <c r="G31" s="166">
        <v>39.782564201953392</v>
      </c>
    </row>
    <row r="32" spans="1:7" x14ac:dyDescent="0.25">
      <c r="A32">
        <v>21</v>
      </c>
      <c r="B32">
        <v>0.10000000000000002</v>
      </c>
      <c r="C32">
        <v>0.3</v>
      </c>
      <c r="D32">
        <v>4.3452364778773021</v>
      </c>
      <c r="E32">
        <v>1.7855063414608985</v>
      </c>
      <c r="F32">
        <v>0.5533142853124331</v>
      </c>
      <c r="G32" s="166">
        <v>39.444628560047938</v>
      </c>
    </row>
    <row r="33" spans="1:7" x14ac:dyDescent="0.25">
      <c r="A33">
        <v>20</v>
      </c>
      <c r="B33">
        <v>0.10000000000000002</v>
      </c>
      <c r="C33">
        <v>0.3</v>
      </c>
      <c r="D33">
        <v>4.3107225509645168</v>
      </c>
      <c r="E33">
        <v>1.7713241822883785</v>
      </c>
      <c r="F33">
        <v>0.5489193464177835</v>
      </c>
      <c r="G33" s="166">
        <v>39.114867961470274</v>
      </c>
    </row>
    <row r="34" spans="1:7" x14ac:dyDescent="0.25">
      <c r="A34">
        <v>19</v>
      </c>
      <c r="B34">
        <v>0.10000000000000002</v>
      </c>
      <c r="C34">
        <v>0.3</v>
      </c>
      <c r="D34">
        <v>4.2739458623383531</v>
      </c>
      <c r="E34">
        <v>1.7562122289817483</v>
      </c>
      <c r="F34">
        <v>0.54423627167905619</v>
      </c>
      <c r="G34" s="166">
        <v>38.799269052723787</v>
      </c>
    </row>
    <row r="35" spans="1:7" x14ac:dyDescent="0.25">
      <c r="A35">
        <v>18</v>
      </c>
      <c r="B35">
        <v>0.10000000000000002</v>
      </c>
      <c r="C35">
        <v>0.3</v>
      </c>
      <c r="D35">
        <v>4.2346214735516403</v>
      </c>
      <c r="E35">
        <v>1.7400533971413579</v>
      </c>
      <c r="F35">
        <v>0.53922877756736687</v>
      </c>
      <c r="G35" s="166">
        <v>38.408902112923897</v>
      </c>
    </row>
    <row r="36" spans="1:7" x14ac:dyDescent="0.25">
      <c r="A36">
        <v>17</v>
      </c>
      <c r="B36">
        <v>0.10000000000000002</v>
      </c>
      <c r="C36">
        <v>0.3</v>
      </c>
      <c r="D36">
        <v>4.1920303808416</v>
      </c>
      <c r="E36">
        <v>1.7225522400672379</v>
      </c>
      <c r="F36">
        <v>0.53380530748846244</v>
      </c>
      <c r="G36" s="166">
        <v>38.041335694996143</v>
      </c>
    </row>
    <row r="37" spans="1:7" x14ac:dyDescent="0.25">
      <c r="A37">
        <v>16</v>
      </c>
      <c r="B37">
        <v>0.10000000000000002</v>
      </c>
      <c r="C37">
        <v>0.3</v>
      </c>
      <c r="D37">
        <v>4.1468699441742833</v>
      </c>
      <c r="E37">
        <v>1.7039953107808421</v>
      </c>
      <c r="F37">
        <v>0.52805466195600559</v>
      </c>
      <c r="G37" s="166">
        <v>37.630673242115456</v>
      </c>
    </row>
    <row r="38" spans="1:7" x14ac:dyDescent="0.25">
      <c r="A38">
        <v>15</v>
      </c>
      <c r="B38">
        <v>0.10000000000000002</v>
      </c>
      <c r="C38">
        <v>0.3</v>
      </c>
      <c r="D38">
        <v>4.0969498918902447</v>
      </c>
      <c r="E38">
        <v>1.6834826021232108</v>
      </c>
      <c r="F38">
        <v>0.52169793587379354</v>
      </c>
      <c r="G38" s="166">
        <v>37.211814417081492</v>
      </c>
    </row>
    <row r="39" spans="1:7" x14ac:dyDescent="0.25">
      <c r="A39">
        <v>14</v>
      </c>
      <c r="B39">
        <v>0.10000000000000002</v>
      </c>
      <c r="C39">
        <v>0.3</v>
      </c>
      <c r="D39">
        <v>4.0434402183235916</v>
      </c>
      <c r="E39">
        <v>1.6614948778717942</v>
      </c>
      <c r="F39">
        <v>0.51488411413185275</v>
      </c>
      <c r="G39" s="166">
        <v>36.758800146455997</v>
      </c>
    </row>
    <row r="40" spans="1:7" x14ac:dyDescent="0.25">
      <c r="A40">
        <v>13</v>
      </c>
      <c r="B40">
        <v>0.10000000000000002</v>
      </c>
      <c r="C40">
        <v>0.3</v>
      </c>
      <c r="D40">
        <v>3.983700619976307</v>
      </c>
      <c r="E40">
        <v>1.6369472077441811</v>
      </c>
      <c r="F40">
        <v>0.50727698542144317</v>
      </c>
      <c r="G40" s="166">
        <v>36.292863692941481</v>
      </c>
    </row>
    <row r="41" spans="1:7" x14ac:dyDescent="0.25">
      <c r="A41">
        <v>12</v>
      </c>
      <c r="B41">
        <v>0.10000000000000002</v>
      </c>
      <c r="C41">
        <v>0.3</v>
      </c>
      <c r="D41">
        <v>3.9185388064633124</v>
      </c>
      <c r="E41">
        <v>1.6101714886686149</v>
      </c>
      <c r="F41">
        <v>0.49897940197410495</v>
      </c>
      <c r="G41" s="166">
        <v>35.773982039928946</v>
      </c>
    </row>
    <row r="42" spans="1:7" x14ac:dyDescent="0.25">
      <c r="A42">
        <v>11</v>
      </c>
      <c r="B42">
        <v>0.10000000000000002</v>
      </c>
      <c r="C42">
        <v>0.3</v>
      </c>
      <c r="D42">
        <v>3.8465230322652153</v>
      </c>
      <c r="E42">
        <v>1.5805794003736338</v>
      </c>
      <c r="F42">
        <v>0.48980904799348401</v>
      </c>
      <c r="G42" s="166">
        <v>35.241793092989028</v>
      </c>
    </row>
    <row r="43" spans="1:7" x14ac:dyDescent="0.25">
      <c r="A43">
        <v>10</v>
      </c>
      <c r="B43">
        <v>0.10000000000000002</v>
      </c>
      <c r="C43">
        <v>0.3</v>
      </c>
      <c r="D43">
        <v>3.7650946462380461</v>
      </c>
      <c r="E43">
        <v>1.5471195644437232</v>
      </c>
      <c r="F43">
        <v>0.47944010962887323</v>
      </c>
      <c r="G43" s="166">
        <v>34.666410435617479</v>
      </c>
    </row>
    <row r="44" spans="1:7" x14ac:dyDescent="0.25">
      <c r="A44">
        <v>9</v>
      </c>
      <c r="B44">
        <v>0.10000000000000002</v>
      </c>
      <c r="C44">
        <v>0.3</v>
      </c>
      <c r="D44">
        <v>3.6739459088194795</v>
      </c>
      <c r="E44">
        <v>1.5096655272456123</v>
      </c>
      <c r="F44">
        <v>0.4678333999000342</v>
      </c>
      <c r="G44" s="166">
        <v>34.03225391647026</v>
      </c>
    </row>
    <row r="45" spans="1:7" x14ac:dyDescent="0.25">
      <c r="A45">
        <v>8</v>
      </c>
      <c r="B45">
        <v>0.10000000000000002</v>
      </c>
      <c r="C45">
        <v>0.3</v>
      </c>
      <c r="D45">
        <v>3.5679846680000047</v>
      </c>
      <c r="E45">
        <v>1.4661248664793975</v>
      </c>
      <c r="F45">
        <v>0.45434049369496438</v>
      </c>
      <c r="G45" s="166">
        <v>33.08230847564878</v>
      </c>
    </row>
    <row r="46" spans="1:7" x14ac:dyDescent="0.25">
      <c r="A46">
        <v>7</v>
      </c>
      <c r="B46">
        <v>0.10000000000000002</v>
      </c>
      <c r="C46">
        <v>0.3</v>
      </c>
      <c r="D46">
        <v>3.4438001152073525</v>
      </c>
      <c r="E46">
        <v>1.4150960426969266</v>
      </c>
      <c r="F46">
        <v>0.43852706503000083</v>
      </c>
      <c r="G46" s="166">
        <v>32.013787264972649</v>
      </c>
    </row>
    <row r="47" spans="1:7" x14ac:dyDescent="0.25">
      <c r="A47">
        <v>6</v>
      </c>
      <c r="B47">
        <v>0.10000000000000002</v>
      </c>
      <c r="C47">
        <v>0.3</v>
      </c>
      <c r="D47">
        <v>3.2945193441070328</v>
      </c>
      <c r="E47">
        <v>1.3537549016992327</v>
      </c>
      <c r="F47">
        <v>0.41951793086830541</v>
      </c>
      <c r="G47" s="166">
        <v>30.876920564711824</v>
      </c>
    </row>
    <row r="48" spans="1:7" x14ac:dyDescent="0.25">
      <c r="A48">
        <v>5</v>
      </c>
      <c r="B48">
        <v>0.10000000000000002</v>
      </c>
      <c r="C48">
        <v>0.3</v>
      </c>
      <c r="D48">
        <v>3.1121504807684404</v>
      </c>
      <c r="E48">
        <v>1.2788174929681106</v>
      </c>
      <c r="F48">
        <v>0.39629542093238396</v>
      </c>
      <c r="G48" s="166">
        <v>29.694252666852663</v>
      </c>
    </row>
    <row r="49" spans="1:7" x14ac:dyDescent="0.25">
      <c r="A49">
        <v>4</v>
      </c>
      <c r="B49">
        <v>0.10000000000000002</v>
      </c>
      <c r="C49">
        <v>0.3</v>
      </c>
      <c r="D49">
        <v>2.8808064547324559</v>
      </c>
      <c r="E49">
        <v>1.1837556412945895</v>
      </c>
      <c r="F49">
        <v>0.36683650538679458</v>
      </c>
      <c r="G49" s="166">
        <v>28.456428702187772</v>
      </c>
    </row>
    <row r="50" spans="1:7" x14ac:dyDescent="0.25">
      <c r="A50">
        <v>3</v>
      </c>
      <c r="B50">
        <v>0.10000000000000002</v>
      </c>
      <c r="C50">
        <v>0.3</v>
      </c>
      <c r="D50">
        <v>2.5702565588519781</v>
      </c>
      <c r="E50">
        <v>1.0561472104858964</v>
      </c>
      <c r="F50">
        <v>0.32729166253007191</v>
      </c>
      <c r="G50" s="166">
        <v>27.238048097300037</v>
      </c>
    </row>
    <row r="51" spans="1:7" x14ac:dyDescent="0.25">
      <c r="A51">
        <v>2</v>
      </c>
      <c r="B51">
        <v>0.10000000000000002</v>
      </c>
      <c r="C51">
        <v>0.3</v>
      </c>
      <c r="D51">
        <v>2.1154383953861293</v>
      </c>
      <c r="E51">
        <v>0.86925733252082338</v>
      </c>
      <c r="F51">
        <v>0.26937596833334149</v>
      </c>
      <c r="G51" s="166">
        <v>26.329179213208015</v>
      </c>
    </row>
    <row r="52" spans="1:7" x14ac:dyDescent="0.25">
      <c r="A52">
        <v>1</v>
      </c>
      <c r="B52">
        <v>0.10000000000000002</v>
      </c>
      <c r="C52">
        <v>0.3</v>
      </c>
      <c r="D52">
        <v>1.3077484191279081</v>
      </c>
      <c r="E52">
        <v>0.53736847402353938</v>
      </c>
      <c r="F52">
        <v>0.16652623754362561</v>
      </c>
      <c r="G52" s="166">
        <v>27.998195218877989</v>
      </c>
    </row>
    <row r="53" spans="1:7" x14ac:dyDescent="0.25">
      <c r="A53">
        <v>50</v>
      </c>
      <c r="B53">
        <v>9.5000000000000015E-2</v>
      </c>
      <c r="C53">
        <v>0.3</v>
      </c>
      <c r="D53">
        <v>4.8493225022818134</v>
      </c>
      <c r="E53">
        <v>1.9926409353543368</v>
      </c>
      <c r="F53">
        <v>0.61750365676538177</v>
      </c>
      <c r="G53" s="166">
        <v>45.099209909594236</v>
      </c>
    </row>
    <row r="54" spans="1:7" x14ac:dyDescent="0.25">
      <c r="A54">
        <v>49</v>
      </c>
      <c r="B54">
        <v>9.5000000000000015E-2</v>
      </c>
      <c r="C54">
        <v>0.3</v>
      </c>
      <c r="D54">
        <v>4.83980949605197</v>
      </c>
      <c r="E54">
        <v>1.9887319345355734</v>
      </c>
      <c r="F54">
        <v>0.61629228834618588</v>
      </c>
      <c r="G54" s="166">
        <v>44.978469785258447</v>
      </c>
    </row>
    <row r="55" spans="1:7" x14ac:dyDescent="0.25">
      <c r="A55">
        <v>48</v>
      </c>
      <c r="B55">
        <v>9.5000000000000015E-2</v>
      </c>
      <c r="C55">
        <v>0.3</v>
      </c>
      <c r="D55">
        <v>4.8300934093228634</v>
      </c>
      <c r="E55">
        <v>1.9847394856648783</v>
      </c>
      <c r="F55">
        <v>0.61505506003607657</v>
      </c>
      <c r="G55" s="166">
        <v>44.819152199103371</v>
      </c>
    </row>
    <row r="56" spans="1:7" x14ac:dyDescent="0.25">
      <c r="A56">
        <v>47</v>
      </c>
      <c r="B56">
        <v>9.5000000000000015E-2</v>
      </c>
      <c r="C56">
        <v>0.3</v>
      </c>
      <c r="D56">
        <v>4.8189347717927742</v>
      </c>
      <c r="E56">
        <v>1.9801542765114815</v>
      </c>
      <c r="F56">
        <v>0.61363414000526662</v>
      </c>
      <c r="G56" s="166">
        <v>44.674463178365336</v>
      </c>
    </row>
    <row r="57" spans="1:7" x14ac:dyDescent="0.25">
      <c r="A57">
        <v>46</v>
      </c>
      <c r="B57">
        <v>9.5000000000000015E-2</v>
      </c>
      <c r="C57">
        <v>0.3</v>
      </c>
      <c r="D57">
        <v>4.807776134262685</v>
      </c>
      <c r="E57">
        <v>1.9755690673580844</v>
      </c>
      <c r="F57">
        <v>0.61221321997445677</v>
      </c>
      <c r="G57" s="166">
        <v>44.529102523885655</v>
      </c>
    </row>
    <row r="58" spans="1:7" x14ac:dyDescent="0.25">
      <c r="A58">
        <v>45</v>
      </c>
      <c r="B58">
        <v>9.5000000000000015E-2</v>
      </c>
      <c r="C58">
        <v>0.3</v>
      </c>
      <c r="D58">
        <v>4.7962080725818614</v>
      </c>
      <c r="E58">
        <v>1.9708156212350296</v>
      </c>
      <c r="F58">
        <v>0.61074016463812164</v>
      </c>
      <c r="G58" s="166">
        <v>44.386617620938317</v>
      </c>
    </row>
    <row r="59" spans="1:7" x14ac:dyDescent="0.25">
      <c r="A59">
        <v>44</v>
      </c>
      <c r="B59">
        <v>9.5000000000000015E-2</v>
      </c>
      <c r="C59">
        <v>0.3</v>
      </c>
      <c r="D59">
        <v>4.7838730680730128</v>
      </c>
      <c r="E59">
        <v>1.9657470297131117</v>
      </c>
      <c r="F59">
        <v>0.60916944823663521</v>
      </c>
      <c r="G59" s="166">
        <v>44.250092329978003</v>
      </c>
    </row>
    <row r="60" spans="1:7" x14ac:dyDescent="0.25">
      <c r="A60">
        <v>43</v>
      </c>
      <c r="B60">
        <v>9.5000000000000015E-2</v>
      </c>
      <c r="C60">
        <v>0.3</v>
      </c>
      <c r="D60">
        <v>4.7715380635641651</v>
      </c>
      <c r="E60">
        <v>1.9606784381911939</v>
      </c>
      <c r="F60">
        <v>0.60759873183514879</v>
      </c>
      <c r="G60" s="166">
        <v>44.112861170152307</v>
      </c>
    </row>
    <row r="61" spans="1:7" x14ac:dyDescent="0.25">
      <c r="A61">
        <v>42</v>
      </c>
      <c r="B61">
        <v>9.5000000000000015E-2</v>
      </c>
      <c r="C61">
        <v>0.3</v>
      </c>
      <c r="D61">
        <v>4.7592030590553165</v>
      </c>
      <c r="E61">
        <v>1.955609846669276</v>
      </c>
      <c r="F61">
        <v>0.60602801543366236</v>
      </c>
      <c r="G61" s="166">
        <v>43.974918653003023</v>
      </c>
    </row>
    <row r="62" spans="1:7" x14ac:dyDescent="0.25">
      <c r="A62">
        <v>41</v>
      </c>
      <c r="B62">
        <v>9.5000000000000015E-2</v>
      </c>
      <c r="C62">
        <v>0.3</v>
      </c>
      <c r="D62">
        <v>4.7467766542556067</v>
      </c>
      <c r="E62">
        <v>1.9505036977440322</v>
      </c>
      <c r="F62">
        <v>0.60444566029010216</v>
      </c>
      <c r="G62" s="166">
        <v>43.804172273329549</v>
      </c>
    </row>
    <row r="63" spans="1:7" x14ac:dyDescent="0.25">
      <c r="A63">
        <v>40</v>
      </c>
      <c r="B63">
        <v>9.5000000000000015E-2</v>
      </c>
      <c r="C63">
        <v>0.3</v>
      </c>
      <c r="D63">
        <v>4.7330922045423769</v>
      </c>
      <c r="E63">
        <v>1.9448806040719682</v>
      </c>
      <c r="F63">
        <v>0.60270310806043192</v>
      </c>
      <c r="G63" s="166">
        <v>43.623743027948173</v>
      </c>
    </row>
    <row r="64" spans="1:7" x14ac:dyDescent="0.25">
      <c r="A64">
        <v>39</v>
      </c>
      <c r="B64">
        <v>9.5000000000000015E-2</v>
      </c>
      <c r="C64">
        <v>0.3</v>
      </c>
      <c r="D64">
        <v>4.718786490833244</v>
      </c>
      <c r="E64">
        <v>1.9390022260649651</v>
      </c>
      <c r="F64">
        <v>0.60088144523559983</v>
      </c>
      <c r="G64" s="166">
        <v>43.448768756294243</v>
      </c>
    </row>
    <row r="65" spans="1:7" x14ac:dyDescent="0.25">
      <c r="A65">
        <v>38</v>
      </c>
      <c r="B65">
        <v>9.5000000000000015E-2</v>
      </c>
      <c r="C65">
        <v>0.3</v>
      </c>
      <c r="D65">
        <v>4.7039808095055262</v>
      </c>
      <c r="E65">
        <v>1.9329184057631519</v>
      </c>
      <c r="F65">
        <v>0.5989961174694084</v>
      </c>
      <c r="G65" s="166">
        <v>43.277054251324103</v>
      </c>
    </row>
    <row r="66" spans="1:7" x14ac:dyDescent="0.25">
      <c r="A66">
        <v>37</v>
      </c>
      <c r="B66">
        <v>9.5000000000000015E-2</v>
      </c>
      <c r="C66">
        <v>0.3</v>
      </c>
      <c r="D66">
        <v>4.6882855797084577</v>
      </c>
      <c r="E66">
        <v>1.9264690600311005</v>
      </c>
      <c r="F66">
        <v>0.5969975162650335</v>
      </c>
      <c r="G66" s="166">
        <v>43.111942347939646</v>
      </c>
    </row>
    <row r="67" spans="1:7" x14ac:dyDescent="0.25">
      <c r="A67">
        <v>36</v>
      </c>
      <c r="B67">
        <v>9.5000000000000015E-2</v>
      </c>
      <c r="C67">
        <v>0.3</v>
      </c>
      <c r="D67">
        <v>4.6725903499113892</v>
      </c>
      <c r="E67">
        <v>1.9200197142990492</v>
      </c>
      <c r="F67">
        <v>0.59499891506065861</v>
      </c>
      <c r="G67" s="166">
        <v>42.945721222872258</v>
      </c>
    </row>
    <row r="68" spans="1:7" x14ac:dyDescent="0.25">
      <c r="A68">
        <v>35</v>
      </c>
      <c r="B68">
        <v>9.5000000000000015E-2</v>
      </c>
      <c r="C68">
        <v>0.3</v>
      </c>
      <c r="D68">
        <v>4.6568042853540996</v>
      </c>
      <c r="E68">
        <v>1.913533043546547</v>
      </c>
      <c r="F68">
        <v>0.5929887471278239</v>
      </c>
      <c r="G68" s="166">
        <v>42.748036900200994</v>
      </c>
    </row>
    <row r="69" spans="1:7" x14ac:dyDescent="0.25">
      <c r="A69">
        <v>34</v>
      </c>
      <c r="B69">
        <v>9.5000000000000015E-2</v>
      </c>
      <c r="C69">
        <v>0.3</v>
      </c>
      <c r="D69">
        <v>4.6394303239406911</v>
      </c>
      <c r="E69">
        <v>1.9063938881892093</v>
      </c>
      <c r="F69">
        <v>0.59077637937949778</v>
      </c>
      <c r="G69" s="166">
        <v>42.535375642400005</v>
      </c>
    </row>
    <row r="70" spans="1:7" x14ac:dyDescent="0.25">
      <c r="A70">
        <v>33</v>
      </c>
      <c r="B70">
        <v>9.5000000000000015E-2</v>
      </c>
      <c r="C70">
        <v>0.3</v>
      </c>
      <c r="D70">
        <v>4.621428330442944</v>
      </c>
      <c r="E70">
        <v>1.8989966674135825</v>
      </c>
      <c r="F70">
        <v>0.58848403920028824</v>
      </c>
      <c r="G70" s="166">
        <v>42.327621078548155</v>
      </c>
    </row>
    <row r="71" spans="1:7" x14ac:dyDescent="0.25">
      <c r="A71">
        <v>32</v>
      </c>
      <c r="B71">
        <v>9.5000000000000015E-2</v>
      </c>
      <c r="C71">
        <v>0.3</v>
      </c>
      <c r="D71">
        <v>4.6022206999045228</v>
      </c>
      <c r="E71">
        <v>1.8911040368731284</v>
      </c>
      <c r="F71">
        <v>0.58603817545546766</v>
      </c>
      <c r="G71" s="166">
        <v>42.128640969548471</v>
      </c>
    </row>
    <row r="72" spans="1:7" x14ac:dyDescent="0.25">
      <c r="A72">
        <v>31</v>
      </c>
      <c r="B72">
        <v>9.5000000000000015E-2</v>
      </c>
      <c r="C72">
        <v>0.3</v>
      </c>
      <c r="D72">
        <v>4.5825922435716215</v>
      </c>
      <c r="E72">
        <v>1.8830384842998875</v>
      </c>
      <c r="F72">
        <v>0.58353872454113431</v>
      </c>
      <c r="G72" s="166">
        <v>41.931620937282986</v>
      </c>
    </row>
    <row r="73" spans="1:7" x14ac:dyDescent="0.25">
      <c r="A73">
        <v>30</v>
      </c>
      <c r="B73">
        <v>9.5000000000000015E-2</v>
      </c>
      <c r="C73">
        <v>0.3</v>
      </c>
      <c r="D73">
        <v>4.5628534302639983</v>
      </c>
      <c r="E73">
        <v>1.8749275848095814</v>
      </c>
      <c r="F73">
        <v>0.5810252209760628</v>
      </c>
      <c r="G73" s="166">
        <v>41.69778651653094</v>
      </c>
    </row>
    <row r="74" spans="1:7" x14ac:dyDescent="0.25">
      <c r="A74">
        <v>29</v>
      </c>
      <c r="B74">
        <v>9.5000000000000015E-2</v>
      </c>
      <c r="C74">
        <v>0.3</v>
      </c>
      <c r="D74">
        <v>4.5409391573238018</v>
      </c>
      <c r="E74">
        <v>1.8659227645880732</v>
      </c>
      <c r="F74">
        <v>0.57823469845058462</v>
      </c>
      <c r="G74" s="166">
        <v>41.452470645960979</v>
      </c>
    </row>
    <row r="75" spans="1:7" x14ac:dyDescent="0.25">
      <c r="A75">
        <v>28</v>
      </c>
      <c r="B75">
        <v>9.5000000000000015E-2</v>
      </c>
      <c r="C75">
        <v>0.3</v>
      </c>
      <c r="D75">
        <v>4.518346189453907</v>
      </c>
      <c r="E75">
        <v>1.8566390610176231</v>
      </c>
      <c r="F75">
        <v>0.57535775218225982</v>
      </c>
      <c r="G75" s="166">
        <v>41.211275202582506</v>
      </c>
    </row>
    <row r="76" spans="1:7" x14ac:dyDescent="0.25">
      <c r="A76">
        <v>27</v>
      </c>
      <c r="B76">
        <v>9.5000000000000015E-2</v>
      </c>
      <c r="C76">
        <v>0.3</v>
      </c>
      <c r="D76">
        <v>4.4941477438479787</v>
      </c>
      <c r="E76">
        <v>1.8466956486618495</v>
      </c>
      <c r="F76">
        <v>0.57227636738208043</v>
      </c>
      <c r="G76" s="166">
        <v>40.981482313501509</v>
      </c>
    </row>
    <row r="77" spans="1:7" x14ac:dyDescent="0.25">
      <c r="A77">
        <v>26</v>
      </c>
      <c r="B77">
        <v>9.5000000000000015E-2</v>
      </c>
      <c r="C77">
        <v>0.3</v>
      </c>
      <c r="D77">
        <v>4.4698506246306566</v>
      </c>
      <c r="E77">
        <v>1.8367116902138729</v>
      </c>
      <c r="F77">
        <v>0.56918241766879552</v>
      </c>
      <c r="G77" s="166">
        <v>40.719282343445229</v>
      </c>
    </row>
    <row r="78" spans="1:7" x14ac:dyDescent="0.25">
      <c r="A78">
        <v>25</v>
      </c>
      <c r="B78">
        <v>9.5000000000000015E-2</v>
      </c>
      <c r="C78">
        <v>0.3</v>
      </c>
      <c r="D78">
        <v>4.4430913052506442</v>
      </c>
      <c r="E78">
        <v>1.8257159861389753</v>
      </c>
      <c r="F78">
        <v>0.56577493599234796</v>
      </c>
      <c r="G78" s="166">
        <v>40.43517741426335</v>
      </c>
    </row>
    <row r="79" spans="1:7" x14ac:dyDescent="0.25">
      <c r="A79">
        <v>24</v>
      </c>
      <c r="B79">
        <v>9.5000000000000015E-2</v>
      </c>
      <c r="C79">
        <v>0.3</v>
      </c>
      <c r="D79">
        <v>4.415035242191041</v>
      </c>
      <c r="E79">
        <v>1.8141874355607981</v>
      </c>
      <c r="F79">
        <v>0.56220232940130488</v>
      </c>
      <c r="G79" s="166">
        <v>40.159642662763318</v>
      </c>
    </row>
    <row r="80" spans="1:7" x14ac:dyDescent="0.25">
      <c r="A80">
        <v>23</v>
      </c>
      <c r="B80">
        <v>9.5000000000000015E-2</v>
      </c>
      <c r="C80">
        <v>0.3</v>
      </c>
      <c r="D80">
        <v>4.3855594021253701</v>
      </c>
      <c r="E80">
        <v>1.802075482707348</v>
      </c>
      <c r="F80">
        <v>0.55844893106200733</v>
      </c>
      <c r="G80" s="166">
        <v>39.892809874905709</v>
      </c>
    </row>
    <row r="81" spans="1:7" x14ac:dyDescent="0.25">
      <c r="A81">
        <v>22</v>
      </c>
      <c r="B81">
        <v>9.5000000000000015E-2</v>
      </c>
      <c r="C81">
        <v>0.3</v>
      </c>
      <c r="D81">
        <v>4.3543705781491777</v>
      </c>
      <c r="E81">
        <v>1.7892596455772585</v>
      </c>
      <c r="F81">
        <v>0.55447740455568639</v>
      </c>
      <c r="G81" s="166">
        <v>39.560249065826866</v>
      </c>
    </row>
    <row r="82" spans="1:7" x14ac:dyDescent="0.25">
      <c r="A82">
        <v>21</v>
      </c>
      <c r="B82">
        <v>9.5000000000000015E-2</v>
      </c>
      <c r="C82">
        <v>0.3</v>
      </c>
      <c r="D82">
        <v>4.320918858565661</v>
      </c>
      <c r="E82">
        <v>1.7755139592945364</v>
      </c>
      <c r="F82">
        <v>0.55021772515548317</v>
      </c>
      <c r="G82" s="166">
        <v>39.242185570849145</v>
      </c>
    </row>
    <row r="83" spans="1:7" x14ac:dyDescent="0.25">
      <c r="A83">
        <v>20</v>
      </c>
      <c r="B83">
        <v>9.5000000000000015E-2</v>
      </c>
      <c r="C83">
        <v>0.3</v>
      </c>
      <c r="D83">
        <v>4.2853643506081038</v>
      </c>
      <c r="E83">
        <v>1.7609042137147626</v>
      </c>
      <c r="F83">
        <v>0.54569028061700287</v>
      </c>
      <c r="G83" s="166">
        <v>38.93285333773013</v>
      </c>
    </row>
    <row r="84" spans="1:7" x14ac:dyDescent="0.25">
      <c r="A84">
        <v>19</v>
      </c>
      <c r="B84">
        <v>9.5000000000000015E-2</v>
      </c>
      <c r="C84">
        <v>0.3</v>
      </c>
      <c r="D84">
        <v>4.2472863079224217</v>
      </c>
      <c r="E84">
        <v>1.7452575194480979</v>
      </c>
      <c r="F84">
        <v>0.54084149388652392</v>
      </c>
      <c r="G84" s="166">
        <v>38.557937119102085</v>
      </c>
    </row>
    <row r="85" spans="1:7" x14ac:dyDescent="0.25">
      <c r="A85">
        <v>18</v>
      </c>
      <c r="B85">
        <v>9.5000000000000015E-2</v>
      </c>
      <c r="C85">
        <v>0.3</v>
      </c>
      <c r="D85">
        <v>4.206305638759166</v>
      </c>
      <c r="E85">
        <v>1.728418103448339</v>
      </c>
      <c r="F85">
        <v>0.53562309212976411</v>
      </c>
      <c r="G85" s="166">
        <v>38.203516617036634</v>
      </c>
    </row>
    <row r="86" spans="1:7" x14ac:dyDescent="0.25">
      <c r="A86">
        <v>17</v>
      </c>
      <c r="B86">
        <v>9.5000000000000015E-2</v>
      </c>
      <c r="C86">
        <v>0.3</v>
      </c>
      <c r="D86">
        <v>4.1629131151771741</v>
      </c>
      <c r="E86">
        <v>1.7105876294517919</v>
      </c>
      <c r="F86">
        <v>0.53009756934270458</v>
      </c>
      <c r="G86" s="166">
        <v>37.808473917823733</v>
      </c>
    </row>
    <row r="87" spans="1:7" x14ac:dyDescent="0.25">
      <c r="A87">
        <v>16</v>
      </c>
      <c r="B87">
        <v>9.5000000000000015E-2</v>
      </c>
      <c r="C87">
        <v>0.3</v>
      </c>
      <c r="D87">
        <v>4.115182491492023</v>
      </c>
      <c r="E87">
        <v>1.6909745815300932</v>
      </c>
      <c r="F87">
        <v>0.52401964100294074</v>
      </c>
      <c r="G87" s="166">
        <v>37.404948930661789</v>
      </c>
    </row>
    <row r="88" spans="1:7" x14ac:dyDescent="0.25">
      <c r="A88">
        <v>15</v>
      </c>
      <c r="B88">
        <v>9.5000000000000015E-2</v>
      </c>
      <c r="C88">
        <v>0.3</v>
      </c>
      <c r="D88">
        <v>4.0641994196575775</v>
      </c>
      <c r="E88">
        <v>1.6700250662318996</v>
      </c>
      <c r="F88">
        <v>0.51752755199956169</v>
      </c>
      <c r="G88" s="166">
        <v>36.973936705626116</v>
      </c>
    </row>
    <row r="89" spans="1:7" x14ac:dyDescent="0.25">
      <c r="A89">
        <v>14</v>
      </c>
      <c r="B89">
        <v>9.5000000000000015E-2</v>
      </c>
      <c r="C89">
        <v>0.3</v>
      </c>
      <c r="D89">
        <v>4.0077110026885849</v>
      </c>
      <c r="E89">
        <v>1.6468133429503871</v>
      </c>
      <c r="F89">
        <v>0.51033442264451745</v>
      </c>
      <c r="G89" s="166">
        <v>36.525537783468707</v>
      </c>
    </row>
    <row r="90" spans="1:7" x14ac:dyDescent="0.25">
      <c r="A90">
        <v>13</v>
      </c>
      <c r="B90">
        <v>9.5000000000000015E-2</v>
      </c>
      <c r="C90">
        <v>0.3</v>
      </c>
      <c r="D90">
        <v>3.9461743577496922</v>
      </c>
      <c r="E90">
        <v>1.6215272462488568</v>
      </c>
      <c r="F90">
        <v>0.50249846138251453</v>
      </c>
      <c r="G90" s="166">
        <v>36.037899174160003</v>
      </c>
    </row>
    <row r="91" spans="1:7" x14ac:dyDescent="0.25">
      <c r="A91">
        <v>12</v>
      </c>
      <c r="B91">
        <v>9.5000000000000015E-2</v>
      </c>
      <c r="C91">
        <v>0.3</v>
      </c>
      <c r="D91">
        <v>3.8782697388555376</v>
      </c>
      <c r="E91">
        <v>1.5936244777189315</v>
      </c>
      <c r="F91">
        <v>0.49385161422836676</v>
      </c>
      <c r="G91" s="166">
        <v>35.546551120790667</v>
      </c>
    </row>
    <row r="92" spans="1:7" x14ac:dyDescent="0.25">
      <c r="A92">
        <v>11</v>
      </c>
      <c r="B92">
        <v>9.5000000000000015E-2</v>
      </c>
      <c r="C92">
        <v>0.3</v>
      </c>
      <c r="D92">
        <v>3.8029190404945834</v>
      </c>
      <c r="E92">
        <v>1.5626620317296365</v>
      </c>
      <c r="F92">
        <v>0.48425659724283521</v>
      </c>
      <c r="G92" s="166">
        <v>34.984426210555547</v>
      </c>
    </row>
    <row r="93" spans="1:7" x14ac:dyDescent="0.25">
      <c r="A93">
        <v>10</v>
      </c>
      <c r="B93">
        <v>9.5000000000000015E-2</v>
      </c>
      <c r="C93">
        <v>0.3</v>
      </c>
      <c r="D93">
        <v>3.718420809855679</v>
      </c>
      <c r="E93">
        <v>1.5279407622622283</v>
      </c>
      <c r="F93">
        <v>0.47349675060752144</v>
      </c>
      <c r="G93" s="166">
        <v>34.398594436815912</v>
      </c>
    </row>
    <row r="94" spans="1:7" x14ac:dyDescent="0.25">
      <c r="A94">
        <v>9</v>
      </c>
      <c r="B94">
        <v>9.5000000000000015E-2</v>
      </c>
      <c r="C94">
        <v>0.3</v>
      </c>
      <c r="D94">
        <v>3.6219864099814183</v>
      </c>
      <c r="E94">
        <v>1.4883147871542906</v>
      </c>
      <c r="F94">
        <v>0.46121697450842497</v>
      </c>
      <c r="G94" s="166">
        <v>33.588129724235444</v>
      </c>
    </row>
    <row r="95" spans="1:7" x14ac:dyDescent="0.25">
      <c r="A95">
        <v>8</v>
      </c>
      <c r="B95">
        <v>9.5000000000000015E-2</v>
      </c>
      <c r="C95">
        <v>0.3</v>
      </c>
      <c r="D95">
        <v>3.5102825342809241</v>
      </c>
      <c r="E95">
        <v>1.4424144133899552</v>
      </c>
      <c r="F95">
        <v>0.44699281191922535</v>
      </c>
      <c r="G95" s="166">
        <v>32.602375009360848</v>
      </c>
    </row>
    <row r="96" spans="1:7" x14ac:dyDescent="0.25">
      <c r="A96">
        <v>7</v>
      </c>
      <c r="B96">
        <v>9.5000000000000015E-2</v>
      </c>
      <c r="C96">
        <v>0.3</v>
      </c>
      <c r="D96">
        <v>3.3788718262028254</v>
      </c>
      <c r="E96">
        <v>1.3884162814576895</v>
      </c>
      <c r="F96">
        <v>0.43025921815676244</v>
      </c>
      <c r="G96" s="166">
        <v>31.57903898558741</v>
      </c>
    </row>
    <row r="97" spans="1:7" x14ac:dyDescent="0.25">
      <c r="A97">
        <v>6</v>
      </c>
      <c r="B97">
        <v>9.5000000000000015E-2</v>
      </c>
      <c r="C97">
        <v>0.3</v>
      </c>
      <c r="D97">
        <v>3.220912977788561</v>
      </c>
      <c r="E97">
        <v>1.3235092212851423</v>
      </c>
      <c r="F97">
        <v>0.41014503386228418</v>
      </c>
      <c r="G97" s="166">
        <v>30.488652726915024</v>
      </c>
    </row>
    <row r="98" spans="1:7" x14ac:dyDescent="0.25">
      <c r="A98">
        <v>5</v>
      </c>
      <c r="B98">
        <v>9.5000000000000015E-2</v>
      </c>
      <c r="C98">
        <v>0.3</v>
      </c>
      <c r="D98">
        <v>3.0277360907104782</v>
      </c>
      <c r="E98">
        <v>1.2441306745345428</v>
      </c>
      <c r="F98">
        <v>0.38554625039982332</v>
      </c>
      <c r="G98" s="166">
        <v>29.362360548946711</v>
      </c>
    </row>
    <row r="99" spans="1:7" x14ac:dyDescent="0.25">
      <c r="A99">
        <v>4</v>
      </c>
      <c r="B99">
        <v>9.5000000000000015E-2</v>
      </c>
      <c r="C99">
        <v>0.3</v>
      </c>
      <c r="D99">
        <v>2.7810787379201041</v>
      </c>
      <c r="E99">
        <v>1.142776405367053</v>
      </c>
      <c r="F99">
        <v>0.35413736446896271</v>
      </c>
      <c r="G99" s="166">
        <v>28.226883017483491</v>
      </c>
    </row>
    <row r="100" spans="1:7" x14ac:dyDescent="0.25">
      <c r="A100">
        <v>3</v>
      </c>
      <c r="B100">
        <v>9.5000000000000015E-2</v>
      </c>
      <c r="C100">
        <v>0.3</v>
      </c>
      <c r="D100">
        <v>2.450732987591965</v>
      </c>
      <c r="E100">
        <v>1.0070336362246723</v>
      </c>
      <c r="F100">
        <v>0.31207175453509178</v>
      </c>
      <c r="G100" s="166">
        <v>27.173835636942428</v>
      </c>
    </row>
    <row r="101" spans="1:7" x14ac:dyDescent="0.25">
      <c r="A101">
        <v>2</v>
      </c>
      <c r="B101">
        <v>9.5000000000000015E-2</v>
      </c>
      <c r="C101">
        <v>0.3</v>
      </c>
      <c r="D101">
        <v>1.964505979095994</v>
      </c>
      <c r="E101">
        <v>0.8072375120139077</v>
      </c>
      <c r="F101">
        <v>0.25015651676258327</v>
      </c>
      <c r="G101" s="166">
        <v>26.68263185372512</v>
      </c>
    </row>
    <row r="102" spans="1:7" x14ac:dyDescent="0.25">
      <c r="A102">
        <v>1</v>
      </c>
      <c r="B102">
        <v>9.5000000000000015E-2</v>
      </c>
      <c r="C102">
        <v>0.3</v>
      </c>
      <c r="D102">
        <v>1.1332882071626653</v>
      </c>
      <c r="E102">
        <v>0.46568081872963824</v>
      </c>
      <c r="F102">
        <v>0.14431080048042566</v>
      </c>
      <c r="G102" s="166">
        <v>27.838686478503874</v>
      </c>
    </row>
    <row r="103" spans="1:7" x14ac:dyDescent="0.25">
      <c r="A103">
        <v>50</v>
      </c>
      <c r="B103">
        <v>9.0000000000000011E-2</v>
      </c>
      <c r="C103">
        <v>0.3</v>
      </c>
      <c r="D103">
        <v>4.8410514612476554</v>
      </c>
      <c r="E103">
        <v>1.9892422719462206</v>
      </c>
      <c r="F103">
        <v>0.61645043787110398</v>
      </c>
      <c r="G103" s="166">
        <v>44.986084597530372</v>
      </c>
    </row>
    <row r="104" spans="1:7" x14ac:dyDescent="0.25">
      <c r="A104">
        <v>49</v>
      </c>
      <c r="B104">
        <v>9.0000000000000011E-2</v>
      </c>
      <c r="C104">
        <v>0.3</v>
      </c>
      <c r="D104">
        <v>4.8308914952538906</v>
      </c>
      <c r="E104">
        <v>1.9850674281136116</v>
      </c>
      <c r="F104">
        <v>0.61515668680571101</v>
      </c>
      <c r="G104" s="166">
        <v>44.836302376172092</v>
      </c>
    </row>
    <row r="105" spans="1:7" x14ac:dyDescent="0.25">
      <c r="A105">
        <v>48</v>
      </c>
      <c r="B105">
        <v>9.0000000000000011E-2</v>
      </c>
      <c r="C105">
        <v>0.3</v>
      </c>
      <c r="D105">
        <v>4.8199417114339527</v>
      </c>
      <c r="E105">
        <v>1.980568039289168</v>
      </c>
      <c r="F105">
        <v>0.61376236181568999</v>
      </c>
      <c r="G105" s="166">
        <v>44.694252430087303</v>
      </c>
    </row>
    <row r="106" spans="1:7" x14ac:dyDescent="0.25">
      <c r="A106">
        <v>47</v>
      </c>
      <c r="B106">
        <v>9.0000000000000011E-2</v>
      </c>
      <c r="C106">
        <v>0.3</v>
      </c>
      <c r="D106">
        <v>4.8089919276140138</v>
      </c>
      <c r="E106">
        <v>1.9760686504647242</v>
      </c>
      <c r="F106">
        <v>0.61236803682566909</v>
      </c>
      <c r="G106" s="166">
        <v>44.551555605727536</v>
      </c>
    </row>
    <row r="107" spans="1:7" x14ac:dyDescent="0.25">
      <c r="A107">
        <v>46</v>
      </c>
      <c r="B107">
        <v>9.0000000000000011E-2</v>
      </c>
      <c r="C107">
        <v>0.3</v>
      </c>
      <c r="D107">
        <v>4.7972666375047925</v>
      </c>
      <c r="E107">
        <v>1.9712505974192638</v>
      </c>
      <c r="F107">
        <v>0.61087496031535815</v>
      </c>
      <c r="G107" s="166">
        <v>44.414938173679829</v>
      </c>
    </row>
    <row r="108" spans="1:7" x14ac:dyDescent="0.25">
      <c r="A108">
        <v>45</v>
      </c>
      <c r="B108">
        <v>9.0000000000000011E-2</v>
      </c>
      <c r="C108">
        <v>0.3</v>
      </c>
      <c r="D108">
        <v>4.7851736381696472</v>
      </c>
      <c r="E108">
        <v>1.9662814485340152</v>
      </c>
      <c r="F108">
        <v>0.6093350604000195</v>
      </c>
      <c r="G108" s="166">
        <v>44.280840694726102</v>
      </c>
    </row>
    <row r="109" spans="1:7" x14ac:dyDescent="0.25">
      <c r="A109">
        <v>44</v>
      </c>
      <c r="B109">
        <v>9.0000000000000011E-2</v>
      </c>
      <c r="C109">
        <v>0.3</v>
      </c>
      <c r="D109">
        <v>4.7730806388345011</v>
      </c>
      <c r="E109">
        <v>1.9613122996487669</v>
      </c>
      <c r="F109">
        <v>0.60779516048468085</v>
      </c>
      <c r="G109" s="166">
        <v>44.146063721396914</v>
      </c>
    </row>
    <row r="110" spans="1:7" x14ac:dyDescent="0.25">
      <c r="A110">
        <v>43</v>
      </c>
      <c r="B110">
        <v>9.0000000000000011E-2</v>
      </c>
      <c r="C110">
        <v>0.3</v>
      </c>
      <c r="D110">
        <v>4.7609876394993549</v>
      </c>
      <c r="E110">
        <v>1.9563431507635181</v>
      </c>
      <c r="F110">
        <v>0.60625526056934198</v>
      </c>
      <c r="G110" s="166">
        <v>44.010602075906299</v>
      </c>
    </row>
    <row r="111" spans="1:7" x14ac:dyDescent="0.25">
      <c r="A111">
        <v>42</v>
      </c>
      <c r="B111">
        <v>9.0000000000000011E-2</v>
      </c>
      <c r="C111">
        <v>0.3</v>
      </c>
      <c r="D111">
        <v>4.748725278727723</v>
      </c>
      <c r="E111">
        <v>1.9513044093669334</v>
      </c>
      <c r="F111">
        <v>0.60469379448547234</v>
      </c>
      <c r="G111" s="166">
        <v>43.823708494140142</v>
      </c>
    </row>
    <row r="112" spans="1:7" x14ac:dyDescent="0.25">
      <c r="A112">
        <v>41</v>
      </c>
      <c r="B112">
        <v>9.0000000000000011E-2</v>
      </c>
      <c r="C112">
        <v>0.3</v>
      </c>
      <c r="D112">
        <v>4.7347243987441257</v>
      </c>
      <c r="E112">
        <v>1.9455512909523152</v>
      </c>
      <c r="F112">
        <v>0.60291094861705741</v>
      </c>
      <c r="G112" s="166">
        <v>43.653395841756947</v>
      </c>
    </row>
    <row r="113" spans="1:7" x14ac:dyDescent="0.25">
      <c r="A113">
        <v>40</v>
      </c>
      <c r="B113">
        <v>9.0000000000000011E-2</v>
      </c>
      <c r="C113">
        <v>0.3</v>
      </c>
      <c r="D113">
        <v>4.7207235187605283</v>
      </c>
      <c r="E113">
        <v>1.9397981725376974</v>
      </c>
      <c r="F113">
        <v>0.60112810274864259</v>
      </c>
      <c r="G113" s="166">
        <v>43.482072951431945</v>
      </c>
    </row>
    <row r="114" spans="1:7" x14ac:dyDescent="0.25">
      <c r="A114">
        <v>39</v>
      </c>
      <c r="B114">
        <v>9.0000000000000011E-2</v>
      </c>
      <c r="C114">
        <v>0.3</v>
      </c>
      <c r="D114">
        <v>4.7058625567728862</v>
      </c>
      <c r="E114">
        <v>1.9336916367935009</v>
      </c>
      <c r="F114">
        <v>0.59923573564661903</v>
      </c>
      <c r="G114" s="166">
        <v>43.317172920049231</v>
      </c>
    </row>
    <row r="115" spans="1:7" x14ac:dyDescent="0.25">
      <c r="A115">
        <v>38</v>
      </c>
      <c r="B115">
        <v>9.0000000000000011E-2</v>
      </c>
      <c r="C115">
        <v>0.3</v>
      </c>
      <c r="D115">
        <v>4.6905164601259166</v>
      </c>
      <c r="E115">
        <v>1.9273857537836028</v>
      </c>
      <c r="F115">
        <v>0.59728159240452294</v>
      </c>
      <c r="G115" s="166">
        <v>43.155423201657705</v>
      </c>
    </row>
    <row r="116" spans="1:7" x14ac:dyDescent="0.25">
      <c r="A116">
        <v>37</v>
      </c>
      <c r="B116">
        <v>9.0000000000000011E-2</v>
      </c>
      <c r="C116">
        <v>0.3</v>
      </c>
      <c r="D116">
        <v>4.675170363478947</v>
      </c>
      <c r="E116">
        <v>1.9210798707737047</v>
      </c>
      <c r="F116">
        <v>0.59532744916242686</v>
      </c>
      <c r="G116" s="166">
        <v>42.992611606749151</v>
      </c>
    </row>
    <row r="117" spans="1:7" x14ac:dyDescent="0.25">
      <c r="A117">
        <v>36</v>
      </c>
      <c r="B117">
        <v>9.0000000000000011E-2</v>
      </c>
      <c r="C117">
        <v>0.3</v>
      </c>
      <c r="D117">
        <v>4.6596697378915959</v>
      </c>
      <c r="E117">
        <v>1.9147104900912642</v>
      </c>
      <c r="F117">
        <v>0.59335362849410944</v>
      </c>
      <c r="G117" s="166">
        <v>42.780704873618866</v>
      </c>
    </row>
    <row r="118" spans="1:7" x14ac:dyDescent="0.25">
      <c r="A118">
        <v>35</v>
      </c>
      <c r="B118">
        <v>9.0000000000000011E-2</v>
      </c>
      <c r="C118">
        <v>0.3</v>
      </c>
      <c r="D118">
        <v>4.6420990986587505</v>
      </c>
      <c r="E118">
        <v>1.907490517614854</v>
      </c>
      <c r="F118">
        <v>0.59111621616014276</v>
      </c>
      <c r="G118" s="166">
        <v>42.579384087621179</v>
      </c>
    </row>
    <row r="119" spans="1:7" x14ac:dyDescent="0.25">
      <c r="A119">
        <v>34</v>
      </c>
      <c r="B119">
        <v>9.0000000000000011E-2</v>
      </c>
      <c r="C119">
        <v>0.3</v>
      </c>
      <c r="D119">
        <v>4.6245284594259051</v>
      </c>
      <c r="E119">
        <v>1.9002705451384441</v>
      </c>
      <c r="F119">
        <v>0.58887880382617608</v>
      </c>
      <c r="G119" s="166">
        <v>42.376533487316223</v>
      </c>
    </row>
    <row r="120" spans="1:7" x14ac:dyDescent="0.25">
      <c r="A120">
        <v>33</v>
      </c>
      <c r="B120">
        <v>9.0000000000000011E-2</v>
      </c>
      <c r="C120">
        <v>0.3</v>
      </c>
      <c r="D120">
        <v>4.6054383762814775</v>
      </c>
      <c r="E120">
        <v>1.8924262161388765</v>
      </c>
      <c r="F120">
        <v>0.58644790834663385</v>
      </c>
      <c r="G120" s="166">
        <v>42.185250292014175</v>
      </c>
    </row>
    <row r="121" spans="1:7" x14ac:dyDescent="0.25">
      <c r="A121">
        <v>32</v>
      </c>
      <c r="B121">
        <v>9.0000000000000011E-2</v>
      </c>
      <c r="C121">
        <v>0.3</v>
      </c>
      <c r="D121">
        <v>4.5862992470294426</v>
      </c>
      <c r="E121">
        <v>1.8845617335443083</v>
      </c>
      <c r="F121">
        <v>0.58401076742748981</v>
      </c>
      <c r="G121" s="166">
        <v>41.992797887647207</v>
      </c>
    </row>
    <row r="122" spans="1:7" x14ac:dyDescent="0.25">
      <c r="A122">
        <v>31</v>
      </c>
      <c r="B122">
        <v>9.0000000000000011E-2</v>
      </c>
      <c r="C122">
        <v>0.3</v>
      </c>
      <c r="D122">
        <v>4.5667981017574553</v>
      </c>
      <c r="E122">
        <v>1.8765484945120585</v>
      </c>
      <c r="F122">
        <v>0.58152752806551744</v>
      </c>
      <c r="G122" s="166">
        <v>41.749881539433915</v>
      </c>
    </row>
    <row r="123" spans="1:7" x14ac:dyDescent="0.25">
      <c r="A123">
        <v>30</v>
      </c>
      <c r="B123">
        <v>9.0000000000000011E-2</v>
      </c>
      <c r="C123">
        <v>0.3</v>
      </c>
      <c r="D123">
        <v>4.545084538094069</v>
      </c>
      <c r="E123">
        <v>1.8676261479806147</v>
      </c>
      <c r="F123">
        <v>0.57876256348392074</v>
      </c>
      <c r="G123" s="166">
        <v>41.51496209330589</v>
      </c>
    </row>
    <row r="124" spans="1:7" x14ac:dyDescent="0.25">
      <c r="A124">
        <v>29</v>
      </c>
      <c r="B124">
        <v>9.0000000000000011E-2</v>
      </c>
      <c r="C124">
        <v>0.3</v>
      </c>
      <c r="D124">
        <v>4.5227803182037265</v>
      </c>
      <c r="E124">
        <v>1.8584610941893422</v>
      </c>
      <c r="F124">
        <v>0.5759223858432081</v>
      </c>
      <c r="G124" s="166">
        <v>41.282882449300814</v>
      </c>
    </row>
    <row r="125" spans="1:7" x14ac:dyDescent="0.25">
      <c r="A125">
        <v>28</v>
      </c>
      <c r="B125">
        <v>9.0000000000000011E-2</v>
      </c>
      <c r="C125">
        <v>0.3</v>
      </c>
      <c r="D125">
        <v>4.4992515612934696</v>
      </c>
      <c r="E125">
        <v>1.8487928644200664</v>
      </c>
      <c r="F125">
        <v>0.57292627794888029</v>
      </c>
      <c r="G125" s="166">
        <v>41.059058495779517</v>
      </c>
    </row>
    <row r="126" spans="1:7" x14ac:dyDescent="0.25">
      <c r="A126">
        <v>27</v>
      </c>
      <c r="B126">
        <v>9.0000000000000011E-2</v>
      </c>
      <c r="C126">
        <v>0.3</v>
      </c>
      <c r="D126">
        <v>4.4755738191899033</v>
      </c>
      <c r="E126">
        <v>1.8390634149660186</v>
      </c>
      <c r="F126">
        <v>0.56991119855871408</v>
      </c>
      <c r="G126" s="166">
        <v>40.789406453766752</v>
      </c>
    </row>
    <row r="127" spans="1:7" x14ac:dyDescent="0.25">
      <c r="A127">
        <v>26</v>
      </c>
      <c r="B127">
        <v>9.0000000000000011E-2</v>
      </c>
      <c r="C127">
        <v>0.3</v>
      </c>
      <c r="D127">
        <v>4.4490841367189882</v>
      </c>
      <c r="E127">
        <v>1.8281785077173776</v>
      </c>
      <c r="F127">
        <v>0.56653805194191398</v>
      </c>
      <c r="G127" s="166">
        <v>40.518924780702719</v>
      </c>
    </row>
    <row r="128" spans="1:7" x14ac:dyDescent="0.25">
      <c r="A128">
        <v>25</v>
      </c>
      <c r="B128">
        <v>9.0000000000000011E-2</v>
      </c>
      <c r="C128">
        <v>0.3</v>
      </c>
      <c r="D128">
        <v>4.4216089850377207</v>
      </c>
      <c r="E128">
        <v>1.8168886601315755</v>
      </c>
      <c r="F128">
        <v>0.56303941751919151</v>
      </c>
      <c r="G128" s="166">
        <v>40.253701252809456</v>
      </c>
    </row>
    <row r="129" spans="1:7" x14ac:dyDescent="0.25">
      <c r="A129">
        <v>24</v>
      </c>
      <c r="B129">
        <v>9.0000000000000011E-2</v>
      </c>
      <c r="C129">
        <v>0.3</v>
      </c>
      <c r="D129">
        <v>4.3929991714492616</v>
      </c>
      <c r="E129">
        <v>1.8051325672583143</v>
      </c>
      <c r="F129">
        <v>0.55939629737159635</v>
      </c>
      <c r="G129" s="166">
        <v>39.985326559112913</v>
      </c>
    </row>
    <row r="130" spans="1:7" x14ac:dyDescent="0.25">
      <c r="A130">
        <v>23</v>
      </c>
      <c r="B130">
        <v>9.0000000000000011E-2</v>
      </c>
      <c r="C130">
        <v>0.3</v>
      </c>
      <c r="D130">
        <v>4.3623610738883878</v>
      </c>
      <c r="E130">
        <v>1.7925430297811822</v>
      </c>
      <c r="F130">
        <v>0.55549489933686635</v>
      </c>
      <c r="G130" s="166">
        <v>39.665330948314249</v>
      </c>
    </row>
    <row r="131" spans="1:7" x14ac:dyDescent="0.25">
      <c r="A131">
        <v>22</v>
      </c>
      <c r="B131">
        <v>9.0000000000000011E-2</v>
      </c>
      <c r="C131">
        <v>0.3</v>
      </c>
      <c r="D131">
        <v>4.3298264715028365</v>
      </c>
      <c r="E131">
        <v>1.7791741972280946</v>
      </c>
      <c r="F131">
        <v>0.55135200392518113</v>
      </c>
      <c r="G131" s="166">
        <v>39.359168828386863</v>
      </c>
    </row>
    <row r="132" spans="1:7" x14ac:dyDescent="0.25">
      <c r="A132">
        <v>21</v>
      </c>
      <c r="B132">
        <v>9.0000000000000011E-2</v>
      </c>
      <c r="C132">
        <v>0.3</v>
      </c>
      <c r="D132">
        <v>4.2954266843777225</v>
      </c>
      <c r="E132">
        <v>1.7650389393728529</v>
      </c>
      <c r="F132">
        <v>0.54697159937759454</v>
      </c>
      <c r="G132" s="166">
        <v>39.051418614927002</v>
      </c>
    </row>
    <row r="133" spans="1:7" x14ac:dyDescent="0.25">
      <c r="A133">
        <v>20</v>
      </c>
      <c r="B133">
        <v>9.0000000000000011E-2</v>
      </c>
      <c r="C133">
        <v>0.3</v>
      </c>
      <c r="D133">
        <v>4.2583780916607887</v>
      </c>
      <c r="E133">
        <v>1.7498152576296206</v>
      </c>
      <c r="F133">
        <v>0.54225390088054615</v>
      </c>
      <c r="G133" s="166">
        <v>38.693152578791093</v>
      </c>
    </row>
    <row r="134" spans="1:7" x14ac:dyDescent="0.25">
      <c r="A134">
        <v>19</v>
      </c>
      <c r="B134">
        <v>9.0000000000000011E-2</v>
      </c>
      <c r="C134">
        <v>0.3</v>
      </c>
      <c r="D134">
        <v>4.2188069846951048</v>
      </c>
      <c r="E134">
        <v>1.733555046525904</v>
      </c>
      <c r="F134">
        <v>0.5372149901374339</v>
      </c>
      <c r="G134" s="166">
        <v>38.352088792500695</v>
      </c>
    </row>
    <row r="135" spans="1:7" x14ac:dyDescent="0.25">
      <c r="A135">
        <v>18</v>
      </c>
      <c r="B135">
        <v>9.0000000000000011E-2</v>
      </c>
      <c r="C135">
        <v>0.3</v>
      </c>
      <c r="D135">
        <v>4.1768770587942736</v>
      </c>
      <c r="E135">
        <v>1.7163255702996771</v>
      </c>
      <c r="F135">
        <v>0.53187571180329929</v>
      </c>
      <c r="G135" s="166">
        <v>37.969122545866931</v>
      </c>
    </row>
    <row r="136" spans="1:7" x14ac:dyDescent="0.25">
      <c r="A136">
        <v>17</v>
      </c>
      <c r="B136">
        <v>9.0000000000000011E-2</v>
      </c>
      <c r="C136">
        <v>0.3</v>
      </c>
      <c r="D136">
        <v>4.1310693924553803</v>
      </c>
      <c r="E136">
        <v>1.6975026870913568</v>
      </c>
      <c r="F136">
        <v>0.52604264925510935</v>
      </c>
      <c r="G136" s="166">
        <v>37.581100682876816</v>
      </c>
    </row>
    <row r="137" spans="1:7" x14ac:dyDescent="0.25">
      <c r="A137">
        <v>16</v>
      </c>
      <c r="B137">
        <v>9.0000000000000011E-2</v>
      </c>
      <c r="C137">
        <v>0.3</v>
      </c>
      <c r="D137">
        <v>4.082208726419946</v>
      </c>
      <c r="E137">
        <v>1.677425292109878</v>
      </c>
      <c r="F137">
        <v>0.51982082343620861</v>
      </c>
      <c r="G137" s="166">
        <v>37.16758234735768</v>
      </c>
    </row>
    <row r="138" spans="1:7" x14ac:dyDescent="0.25">
      <c r="A138">
        <v>15</v>
      </c>
      <c r="B138">
        <v>9.0000000000000011E-2</v>
      </c>
      <c r="C138">
        <v>0.3</v>
      </c>
      <c r="D138">
        <v>4.0283336937786842</v>
      </c>
      <c r="E138">
        <v>1.6552874377221749</v>
      </c>
      <c r="F138">
        <v>0.5129604775531128</v>
      </c>
      <c r="G138" s="166">
        <v>36.736877724650007</v>
      </c>
    </row>
    <row r="139" spans="1:7" x14ac:dyDescent="0.25">
      <c r="A139">
        <v>14</v>
      </c>
      <c r="B139">
        <v>9.0000000000000011E-2</v>
      </c>
      <c r="C139">
        <v>0.3</v>
      </c>
      <c r="D139">
        <v>3.9701093287963243</v>
      </c>
      <c r="E139">
        <v>1.6313623939569333</v>
      </c>
      <c r="F139">
        <v>0.50554629582514321</v>
      </c>
      <c r="G139" s="166">
        <v>36.274220229972542</v>
      </c>
    </row>
    <row r="140" spans="1:7" x14ac:dyDescent="0.25">
      <c r="A140">
        <v>13</v>
      </c>
      <c r="B140">
        <v>9.0000000000000011E-2</v>
      </c>
      <c r="C140">
        <v>0.3</v>
      </c>
      <c r="D140">
        <v>3.9057907847798994</v>
      </c>
      <c r="E140">
        <v>1.6049331837633007</v>
      </c>
      <c r="F140">
        <v>0.49735609273815962</v>
      </c>
      <c r="G140" s="166">
        <v>35.805331642975126</v>
      </c>
    </row>
    <row r="141" spans="1:7" x14ac:dyDescent="0.25">
      <c r="A141">
        <v>12</v>
      </c>
      <c r="B141">
        <v>9.0000000000000011E-2</v>
      </c>
      <c r="C141">
        <v>0.3</v>
      </c>
      <c r="D141">
        <v>3.8350694614035046</v>
      </c>
      <c r="E141">
        <v>1.5758729998106091</v>
      </c>
      <c r="F141">
        <v>0.48835057170389923</v>
      </c>
      <c r="G141" s="166">
        <v>35.27371392923105</v>
      </c>
    </row>
    <row r="142" spans="1:7" x14ac:dyDescent="0.25">
      <c r="A142">
        <v>11</v>
      </c>
      <c r="B142">
        <v>9.0000000000000011E-2</v>
      </c>
      <c r="C142">
        <v>0.3</v>
      </c>
      <c r="D142">
        <v>3.7563797109515997</v>
      </c>
      <c r="E142">
        <v>1.5435384999151081</v>
      </c>
      <c r="F142">
        <v>0.47833036607081497</v>
      </c>
      <c r="G142" s="166">
        <v>34.725863106627195</v>
      </c>
    </row>
    <row r="143" spans="1:7" x14ac:dyDescent="0.25">
      <c r="A143">
        <v>10</v>
      </c>
      <c r="B143">
        <v>9.0000000000000011E-2</v>
      </c>
      <c r="C143">
        <v>0.3</v>
      </c>
      <c r="D143">
        <v>3.6675398998027129</v>
      </c>
      <c r="E143">
        <v>1.5070332263843988</v>
      </c>
      <c r="F143">
        <v>0.46701767069430206</v>
      </c>
      <c r="G143" s="166">
        <v>34.018310402195446</v>
      </c>
    </row>
    <row r="144" spans="1:7" x14ac:dyDescent="0.25">
      <c r="A144">
        <v>9</v>
      </c>
      <c r="B144">
        <v>9.0000000000000011E-2</v>
      </c>
      <c r="C144">
        <v>0.3</v>
      </c>
      <c r="D144">
        <v>3.5652151949538804</v>
      </c>
      <c r="E144">
        <v>1.4649868589827892</v>
      </c>
      <c r="F144">
        <v>0.45398783417758021</v>
      </c>
      <c r="G144" s="166">
        <v>33.105118186142541</v>
      </c>
    </row>
    <row r="145" spans="1:7" x14ac:dyDescent="0.25">
      <c r="A145">
        <v>8</v>
      </c>
      <c r="B145">
        <v>9.0000000000000011E-2</v>
      </c>
      <c r="C145">
        <v>0.3</v>
      </c>
      <c r="D145">
        <v>3.4465554495145008</v>
      </c>
      <c r="E145">
        <v>1.4162282404273159</v>
      </c>
      <c r="F145">
        <v>0.43887792414681032</v>
      </c>
      <c r="G145" s="166">
        <v>32.154761248981401</v>
      </c>
    </row>
    <row r="146" spans="1:7" x14ac:dyDescent="0.25">
      <c r="A146">
        <v>7</v>
      </c>
      <c r="B146">
        <v>9.0000000000000011E-2</v>
      </c>
      <c r="C146">
        <v>0.3</v>
      </c>
      <c r="D146">
        <v>3.3073422489400817</v>
      </c>
      <c r="E146">
        <v>1.359023976929528</v>
      </c>
      <c r="F146">
        <v>0.42115077558445624</v>
      </c>
      <c r="G146" s="166">
        <v>31.171936160323483</v>
      </c>
    </row>
    <row r="147" spans="1:7" x14ac:dyDescent="0.25">
      <c r="A147">
        <v>6</v>
      </c>
      <c r="B147">
        <v>9.0000000000000011E-2</v>
      </c>
      <c r="C147">
        <v>0.3</v>
      </c>
      <c r="D147">
        <v>3.1392118905271578</v>
      </c>
      <c r="E147">
        <v>1.2899373293634513</v>
      </c>
      <c r="F147">
        <v>0.39974137023259471</v>
      </c>
      <c r="G147" s="166">
        <v>30.137550119673172</v>
      </c>
    </row>
    <row r="148" spans="1:7" x14ac:dyDescent="0.25">
      <c r="A148">
        <v>5</v>
      </c>
      <c r="B148">
        <v>9.0000000000000011E-2</v>
      </c>
      <c r="C148">
        <v>0.3</v>
      </c>
      <c r="D148">
        <v>2.9327609572600712</v>
      </c>
      <c r="E148">
        <v>1.2051043283459832</v>
      </c>
      <c r="F148">
        <v>0.37345229455757722</v>
      </c>
      <c r="G148" s="166">
        <v>29.089569399137311</v>
      </c>
    </row>
    <row r="149" spans="1:7" x14ac:dyDescent="0.25">
      <c r="A149">
        <v>4</v>
      </c>
      <c r="B149">
        <v>9.0000000000000011E-2</v>
      </c>
      <c r="C149">
        <v>0.3</v>
      </c>
      <c r="D149">
        <v>2.6703033082964791</v>
      </c>
      <c r="E149">
        <v>1.0972575404955927</v>
      </c>
      <c r="F149">
        <v>0.34003142846652989</v>
      </c>
      <c r="G149" s="166">
        <v>28.072520158481762</v>
      </c>
    </row>
    <row r="150" spans="1:7" x14ac:dyDescent="0.25">
      <c r="A150">
        <v>3</v>
      </c>
      <c r="B150">
        <v>9.0000000000000011E-2</v>
      </c>
      <c r="C150">
        <v>0.3</v>
      </c>
      <c r="D150">
        <v>2.3160600892820362</v>
      </c>
      <c r="E150">
        <v>0.95169503378507292</v>
      </c>
      <c r="F150">
        <v>0.29492275957044617</v>
      </c>
      <c r="G150" s="166">
        <v>27.251461046588265</v>
      </c>
    </row>
    <row r="151" spans="1:7" x14ac:dyDescent="0.25">
      <c r="A151">
        <v>2</v>
      </c>
      <c r="B151">
        <v>9.0000000000000011E-2</v>
      </c>
      <c r="C151">
        <v>0.3</v>
      </c>
      <c r="D151">
        <v>1.792891559903971</v>
      </c>
      <c r="E151">
        <v>0.73671922484736552</v>
      </c>
      <c r="F151">
        <v>0.22830345762805951</v>
      </c>
      <c r="G151" s="166">
        <v>27.361750810843517</v>
      </c>
    </row>
    <row r="152" spans="1:7" x14ac:dyDescent="0.25">
      <c r="A152">
        <v>1</v>
      </c>
      <c r="B152">
        <v>9.0000000000000011E-2</v>
      </c>
      <c r="C152">
        <v>0.3</v>
      </c>
      <c r="D152">
        <v>0.9855800728562607</v>
      </c>
      <c r="E152">
        <v>0.4049858918062868</v>
      </c>
      <c r="F152">
        <v>0.12550192294644463</v>
      </c>
      <c r="G152" s="166">
        <v>27.700628575311466</v>
      </c>
    </row>
    <row r="153" spans="1:7" x14ac:dyDescent="0.25">
      <c r="A153">
        <v>50</v>
      </c>
      <c r="B153">
        <v>8.5000000000000006E-2</v>
      </c>
      <c r="C153">
        <v>0.3</v>
      </c>
      <c r="D153">
        <v>4.8315219416366526</v>
      </c>
      <c r="E153">
        <v>1.9853264855941661</v>
      </c>
      <c r="F153">
        <v>0.61523696666883965</v>
      </c>
      <c r="G153" s="166">
        <v>44.851441952934046</v>
      </c>
    </row>
    <row r="154" spans="1:7" x14ac:dyDescent="0.25">
      <c r="A154">
        <v>49</v>
      </c>
      <c r="B154">
        <v>8.5000000000000006E-2</v>
      </c>
      <c r="C154">
        <v>0.3</v>
      </c>
      <c r="D154">
        <v>4.8207760762333729</v>
      </c>
      <c r="E154">
        <v>1.9809108891312979</v>
      </c>
      <c r="F154">
        <v>0.61386860826856593</v>
      </c>
      <c r="G154" s="166">
        <v>44.711957306635675</v>
      </c>
    </row>
    <row r="155" spans="1:7" x14ac:dyDescent="0.25">
      <c r="A155">
        <v>48</v>
      </c>
      <c r="B155">
        <v>8.5000000000000006E-2</v>
      </c>
      <c r="C155">
        <v>0.3</v>
      </c>
      <c r="D155">
        <v>4.8099834829620756</v>
      </c>
      <c r="E155">
        <v>1.9764760916640438</v>
      </c>
      <c r="F155">
        <v>0.61249429962898339</v>
      </c>
      <c r="G155" s="166">
        <v>44.57225550150072</v>
      </c>
    </row>
    <row r="156" spans="1:7" x14ac:dyDescent="0.25">
      <c r="A156">
        <v>47</v>
      </c>
      <c r="B156">
        <v>8.5000000000000006E-2</v>
      </c>
      <c r="C156">
        <v>0.3</v>
      </c>
      <c r="D156">
        <v>4.798126502799831</v>
      </c>
      <c r="E156">
        <v>1.9716039257006839</v>
      </c>
      <c r="F156">
        <v>0.6109844539536472</v>
      </c>
      <c r="G156" s="166">
        <v>44.441166893413929</v>
      </c>
    </row>
    <row r="157" spans="1:7" x14ac:dyDescent="0.25">
      <c r="A157">
        <v>46</v>
      </c>
      <c r="B157">
        <v>8.5000000000000006E-2</v>
      </c>
      <c r="C157">
        <v>0.3</v>
      </c>
      <c r="D157">
        <v>4.7862695226375864</v>
      </c>
      <c r="E157">
        <v>1.9667317597373239</v>
      </c>
      <c r="F157">
        <v>0.60947460827831101</v>
      </c>
      <c r="G157" s="166">
        <v>44.309428796192336</v>
      </c>
    </row>
    <row r="158" spans="1:7" x14ac:dyDescent="0.25">
      <c r="A158">
        <v>45</v>
      </c>
      <c r="B158">
        <v>8.5000000000000006E-2</v>
      </c>
      <c r="C158">
        <v>0.3</v>
      </c>
      <c r="D158">
        <v>4.7744125424753419</v>
      </c>
      <c r="E158">
        <v>1.961859593773964</v>
      </c>
      <c r="F158">
        <v>0.60796476260297483</v>
      </c>
      <c r="G158" s="166">
        <v>44.177036370928732</v>
      </c>
    </row>
    <row r="159" spans="1:7" x14ac:dyDescent="0.25">
      <c r="A159">
        <v>44</v>
      </c>
      <c r="B159">
        <v>8.5000000000000006E-2</v>
      </c>
      <c r="C159">
        <v>0.3</v>
      </c>
      <c r="D159">
        <v>4.7624967021323545</v>
      </c>
      <c r="E159">
        <v>1.9569632415030209</v>
      </c>
      <c r="F159">
        <v>0.60644742178232103</v>
      </c>
      <c r="G159" s="166">
        <v>44.023392065659031</v>
      </c>
    </row>
    <row r="160" spans="1:7" x14ac:dyDescent="0.25">
      <c r="A160">
        <v>43</v>
      </c>
      <c r="B160">
        <v>8.5000000000000006E-2</v>
      </c>
      <c r="C160">
        <v>0.3</v>
      </c>
      <c r="D160">
        <v>4.7498030984087043</v>
      </c>
      <c r="E160">
        <v>1.9517472975469303</v>
      </c>
      <c r="F160">
        <v>0.60483104202758298</v>
      </c>
      <c r="G160" s="166">
        <v>43.846928480986286</v>
      </c>
    </row>
    <row r="161" spans="1:7" x14ac:dyDescent="0.25">
      <c r="A161">
        <v>42</v>
      </c>
      <c r="B161">
        <v>8.5000000000000006E-2</v>
      </c>
      <c r="C161">
        <v>0.3</v>
      </c>
      <c r="D161">
        <v>4.7360988011390424</v>
      </c>
      <c r="E161">
        <v>1.9461160482916078</v>
      </c>
      <c r="F161">
        <v>0.60308596244720147</v>
      </c>
      <c r="G161" s="166">
        <v>43.680105599022248</v>
      </c>
    </row>
    <row r="162" spans="1:7" x14ac:dyDescent="0.25">
      <c r="A162">
        <v>41</v>
      </c>
      <c r="B162">
        <v>8.5000000000000006E-2</v>
      </c>
      <c r="C162">
        <v>0.3</v>
      </c>
      <c r="D162">
        <v>4.7223945038693804</v>
      </c>
      <c r="E162">
        <v>1.9404847990362852</v>
      </c>
      <c r="F162">
        <v>0.60134088286682008</v>
      </c>
      <c r="G162" s="166">
        <v>43.512314483521614</v>
      </c>
    </row>
    <row r="163" spans="1:7" x14ac:dyDescent="0.25">
      <c r="A163">
        <v>40</v>
      </c>
      <c r="B163">
        <v>8.5000000000000006E-2</v>
      </c>
      <c r="C163">
        <v>0.3</v>
      </c>
      <c r="D163">
        <v>4.707446254371904</v>
      </c>
      <c r="E163">
        <v>1.9343423958765562</v>
      </c>
      <c r="F163">
        <v>0.59943740073656593</v>
      </c>
      <c r="G163" s="166">
        <v>43.354315657425012</v>
      </c>
    </row>
    <row r="164" spans="1:7" x14ac:dyDescent="0.25">
      <c r="A164">
        <v>39</v>
      </c>
      <c r="B164">
        <v>8.5000000000000006E-2</v>
      </c>
      <c r="C164">
        <v>0.3</v>
      </c>
      <c r="D164">
        <v>4.6924394428399125</v>
      </c>
      <c r="E164">
        <v>1.9281759289208682</v>
      </c>
      <c r="F164">
        <v>0.597526461426377</v>
      </c>
      <c r="G164" s="166">
        <v>43.195816947559102</v>
      </c>
    </row>
    <row r="165" spans="1:7" x14ac:dyDescent="0.25">
      <c r="A165">
        <v>38</v>
      </c>
      <c r="B165">
        <v>8.5000000000000006E-2</v>
      </c>
      <c r="C165">
        <v>0.3</v>
      </c>
      <c r="D165">
        <v>4.6773975221616206</v>
      </c>
      <c r="E165">
        <v>1.9219950352236945</v>
      </c>
      <c r="F165">
        <v>0.59561105138317016</v>
      </c>
      <c r="G165" s="166">
        <v>43.024626790064161</v>
      </c>
    </row>
    <row r="166" spans="1:7" x14ac:dyDescent="0.25">
      <c r="A166">
        <v>37</v>
      </c>
      <c r="B166">
        <v>8.5000000000000006E-2</v>
      </c>
      <c r="C166">
        <v>0.3</v>
      </c>
      <c r="D166">
        <v>4.6615400038388257</v>
      </c>
      <c r="E166">
        <v>1.9154790033185645</v>
      </c>
      <c r="F166">
        <v>0.59359178466149043</v>
      </c>
      <c r="G166" s="166">
        <v>42.815950246494189</v>
      </c>
    </row>
    <row r="167" spans="1:7" x14ac:dyDescent="0.25">
      <c r="A167">
        <v>36</v>
      </c>
      <c r="B167">
        <v>8.5000000000000006E-2</v>
      </c>
      <c r="C167">
        <v>0.3</v>
      </c>
      <c r="D167">
        <v>4.6443875472448548</v>
      </c>
      <c r="E167">
        <v>1.9084308667726961</v>
      </c>
      <c r="F167">
        <v>0.59140762292254601</v>
      </c>
      <c r="G167" s="166">
        <v>42.6192757689806</v>
      </c>
    </row>
    <row r="168" spans="1:7" x14ac:dyDescent="0.25">
      <c r="A168">
        <v>35</v>
      </c>
      <c r="B168">
        <v>8.5000000000000006E-2</v>
      </c>
      <c r="C168">
        <v>0.3</v>
      </c>
      <c r="D168">
        <v>4.6268797765975824</v>
      </c>
      <c r="E168">
        <v>1.9012367277023139</v>
      </c>
      <c r="F168">
        <v>0.58917821615667032</v>
      </c>
      <c r="G168" s="166">
        <v>42.424214926768251</v>
      </c>
    </row>
    <row r="169" spans="1:7" x14ac:dyDescent="0.25">
      <c r="A169">
        <v>34</v>
      </c>
      <c r="B169">
        <v>8.5000000000000006E-2</v>
      </c>
      <c r="C169">
        <v>0.3</v>
      </c>
      <c r="D169">
        <v>4.6082144593886696</v>
      </c>
      <c r="E169">
        <v>1.8935669397836192</v>
      </c>
      <c r="F169">
        <v>0.58680140957683025</v>
      </c>
      <c r="G169" s="166">
        <v>42.237671308693777</v>
      </c>
    </row>
    <row r="170" spans="1:7" x14ac:dyDescent="0.25">
      <c r="A170">
        <v>33</v>
      </c>
      <c r="B170">
        <v>8.5000000000000006E-2</v>
      </c>
      <c r="C170">
        <v>0.3</v>
      </c>
      <c r="D170">
        <v>4.5895254630421372</v>
      </c>
      <c r="E170">
        <v>1.8858874218420378</v>
      </c>
      <c r="F170">
        <v>0.58442158773989772</v>
      </c>
      <c r="G170" s="166">
        <v>42.042120293714966</v>
      </c>
    </row>
    <row r="171" spans="1:7" x14ac:dyDescent="0.25">
      <c r="A171">
        <v>32</v>
      </c>
      <c r="B171">
        <v>8.5000000000000006E-2</v>
      </c>
      <c r="C171">
        <v>0.3</v>
      </c>
      <c r="D171">
        <v>4.5698184790250069</v>
      </c>
      <c r="E171">
        <v>1.8777896013637281</v>
      </c>
      <c r="F171">
        <v>0.58191213725714097</v>
      </c>
      <c r="G171" s="166">
        <v>41.800649898767702</v>
      </c>
    </row>
    <row r="172" spans="1:7" x14ac:dyDescent="0.25">
      <c r="A172">
        <v>31</v>
      </c>
      <c r="B172">
        <v>8.5000000000000006E-2</v>
      </c>
      <c r="C172">
        <v>0.3</v>
      </c>
      <c r="D172">
        <v>4.5486797660767495</v>
      </c>
      <c r="E172">
        <v>1.8691034674302593</v>
      </c>
      <c r="F172">
        <v>0.57922037309034846</v>
      </c>
      <c r="G172" s="166">
        <v>41.571800782619796</v>
      </c>
    </row>
    <row r="173" spans="1:7" x14ac:dyDescent="0.25">
      <c r="A173">
        <v>30</v>
      </c>
      <c r="B173">
        <v>8.5000000000000006E-2</v>
      </c>
      <c r="C173">
        <v>0.3</v>
      </c>
      <c r="D173">
        <v>4.5265969715831131</v>
      </c>
      <c r="E173">
        <v>1.8600293998147663</v>
      </c>
      <c r="F173">
        <v>0.57640839134547528</v>
      </c>
      <c r="G173" s="166">
        <v>41.348964912094281</v>
      </c>
    </row>
    <row r="174" spans="1:7" x14ac:dyDescent="0.25">
      <c r="A174">
        <v>29</v>
      </c>
      <c r="B174">
        <v>8.5000000000000006E-2</v>
      </c>
      <c r="C174">
        <v>0.3</v>
      </c>
      <c r="D174">
        <v>4.5037143061678186</v>
      </c>
      <c r="E174">
        <v>1.8506266562778955</v>
      </c>
      <c r="F174">
        <v>0.57349455553359963</v>
      </c>
      <c r="G174" s="166">
        <v>41.130846000325157</v>
      </c>
    </row>
    <row r="175" spans="1:7" x14ac:dyDescent="0.25">
      <c r="A175">
        <v>28</v>
      </c>
      <c r="B175">
        <v>8.5000000000000006E-2</v>
      </c>
      <c r="C175">
        <v>0.3</v>
      </c>
      <c r="D175">
        <v>4.4800181519407216</v>
      </c>
      <c r="E175">
        <v>1.8408896410760469</v>
      </c>
      <c r="F175">
        <v>0.57047713157806279</v>
      </c>
      <c r="G175" s="166">
        <v>40.857833481590035</v>
      </c>
    </row>
    <row r="176" spans="1:7" x14ac:dyDescent="0.25">
      <c r="A176">
        <v>27</v>
      </c>
      <c r="B176">
        <v>8.5000000000000006E-2</v>
      </c>
      <c r="C176">
        <v>0.3</v>
      </c>
      <c r="D176">
        <v>4.4543021252748289</v>
      </c>
      <c r="E176">
        <v>1.8303226376637127</v>
      </c>
      <c r="F176">
        <v>0.56720250084434842</v>
      </c>
      <c r="G176" s="166">
        <v>40.595126766294655</v>
      </c>
    </row>
    <row r="177" spans="1:7" x14ac:dyDescent="0.25">
      <c r="A177">
        <v>26</v>
      </c>
      <c r="B177">
        <v>8.5000000000000006E-2</v>
      </c>
      <c r="C177">
        <v>0.3</v>
      </c>
      <c r="D177">
        <v>4.427311985520455</v>
      </c>
      <c r="E177">
        <v>1.8192320869114802</v>
      </c>
      <c r="F177">
        <v>0.56376562693318</v>
      </c>
      <c r="G177" s="166">
        <v>40.340366603344393</v>
      </c>
    </row>
    <row r="178" spans="1:7" x14ac:dyDescent="0.25">
      <c r="A178">
        <v>25</v>
      </c>
      <c r="B178">
        <v>8.5000000000000006E-2</v>
      </c>
      <c r="C178">
        <v>0.3</v>
      </c>
      <c r="D178">
        <v>4.3995152944481193</v>
      </c>
      <c r="E178">
        <v>1.8078101151881989</v>
      </c>
      <c r="F178">
        <v>0.56022604828583944</v>
      </c>
      <c r="G178" s="166">
        <v>40.064894742700773</v>
      </c>
    </row>
    <row r="179" spans="1:7" x14ac:dyDescent="0.25">
      <c r="A179">
        <v>24</v>
      </c>
      <c r="B179">
        <v>8.5000000000000006E-2</v>
      </c>
      <c r="C179">
        <v>0.3</v>
      </c>
      <c r="D179">
        <v>4.3692958336334904</v>
      </c>
      <c r="E179">
        <v>1.7953926002394136</v>
      </c>
      <c r="F179">
        <v>0.55637795867131468</v>
      </c>
      <c r="G179" s="166">
        <v>39.760731065669482</v>
      </c>
    </row>
    <row r="180" spans="1:7" x14ac:dyDescent="0.25">
      <c r="A180">
        <v>23</v>
      </c>
      <c r="B180">
        <v>8.5000000000000006E-2</v>
      </c>
      <c r="C180">
        <v>0.3</v>
      </c>
      <c r="D180">
        <v>4.3375468313060317</v>
      </c>
      <c r="E180">
        <v>1.7823465795500109</v>
      </c>
      <c r="F180">
        <v>0.55233510010155917</v>
      </c>
      <c r="G180" s="166">
        <v>39.466630182692292</v>
      </c>
    </row>
    <row r="181" spans="1:7" x14ac:dyDescent="0.25">
      <c r="A181">
        <v>22</v>
      </c>
      <c r="B181">
        <v>8.5000000000000006E-2</v>
      </c>
      <c r="C181">
        <v>0.3</v>
      </c>
      <c r="D181">
        <v>4.3042403665295792</v>
      </c>
      <c r="E181">
        <v>1.7686605800945676</v>
      </c>
      <c r="F181">
        <v>0.54809391717678779</v>
      </c>
      <c r="G181" s="166">
        <v>39.156859441964329</v>
      </c>
    </row>
    <row r="182" spans="1:7" x14ac:dyDescent="0.25">
      <c r="A182">
        <v>21</v>
      </c>
      <c r="B182">
        <v>8.5000000000000006E-2</v>
      </c>
      <c r="C182">
        <v>0.3</v>
      </c>
      <c r="D182">
        <v>4.2680252640964813</v>
      </c>
      <c r="E182">
        <v>1.753779388845216</v>
      </c>
      <c r="F182">
        <v>0.54348235377343657</v>
      </c>
      <c r="G182" s="166">
        <v>38.81577136524372</v>
      </c>
    </row>
    <row r="183" spans="1:7" x14ac:dyDescent="0.25">
      <c r="A183">
        <v>20</v>
      </c>
      <c r="B183">
        <v>8.5000000000000006E-2</v>
      </c>
      <c r="C183">
        <v>0.3</v>
      </c>
      <c r="D183">
        <v>4.2296822105841274</v>
      </c>
      <c r="E183">
        <v>1.7380237986613816</v>
      </c>
      <c r="F183">
        <v>0.53859982105999293</v>
      </c>
      <c r="G183" s="166">
        <v>38.48822741370963</v>
      </c>
    </row>
    <row r="184" spans="1:7" x14ac:dyDescent="0.25">
      <c r="A184">
        <v>19</v>
      </c>
      <c r="B184">
        <v>8.5000000000000006E-2</v>
      </c>
      <c r="C184">
        <v>0.3</v>
      </c>
      <c r="D184">
        <v>4.1889432829694275</v>
      </c>
      <c r="E184">
        <v>1.7212837169717661</v>
      </c>
      <c r="F184">
        <v>0.53341220221984775</v>
      </c>
      <c r="G184" s="166">
        <v>38.11426918609498</v>
      </c>
    </row>
    <row r="185" spans="1:7" x14ac:dyDescent="0.25">
      <c r="A185">
        <v>18</v>
      </c>
      <c r="B185">
        <v>8.5000000000000006E-2</v>
      </c>
      <c r="C185">
        <v>0.3</v>
      </c>
      <c r="D185">
        <v>4.1448188259548173</v>
      </c>
      <c r="E185">
        <v>1.7031524833290825</v>
      </c>
      <c r="F185">
        <v>0.52779347639856289</v>
      </c>
      <c r="G185" s="166">
        <v>37.74187445683225</v>
      </c>
    </row>
    <row r="186" spans="1:7" x14ac:dyDescent="0.25">
      <c r="A186">
        <v>17</v>
      </c>
      <c r="B186">
        <v>8.5000000000000006E-2</v>
      </c>
      <c r="C186">
        <v>0.3</v>
      </c>
      <c r="D186">
        <v>4.0977224151088274</v>
      </c>
      <c r="E186">
        <v>1.6838000405670621</v>
      </c>
      <c r="F186">
        <v>0.52179630753544037</v>
      </c>
      <c r="G186" s="166">
        <v>37.341989161990227</v>
      </c>
    </row>
    <row r="187" spans="1:7" x14ac:dyDescent="0.25">
      <c r="A187">
        <v>16</v>
      </c>
      <c r="B187">
        <v>8.5000000000000006E-2</v>
      </c>
      <c r="C187">
        <v>0.3</v>
      </c>
      <c r="D187">
        <v>4.0461435295659012</v>
      </c>
      <c r="E187">
        <v>1.6626056987421103</v>
      </c>
      <c r="F187">
        <v>0.515228348728895</v>
      </c>
      <c r="G187" s="166">
        <v>36.929026844166522</v>
      </c>
    </row>
    <row r="188" spans="1:7" x14ac:dyDescent="0.25">
      <c r="A188">
        <v>15</v>
      </c>
      <c r="B188">
        <v>8.5000000000000006E-2</v>
      </c>
      <c r="C188">
        <v>0.3</v>
      </c>
      <c r="D188">
        <v>3.9904782714234686</v>
      </c>
      <c r="E188">
        <v>1.6397322206429565</v>
      </c>
      <c r="F188">
        <v>0.50814003887910331</v>
      </c>
      <c r="G188" s="166">
        <v>36.486429475015079</v>
      </c>
    </row>
    <row r="189" spans="1:7" x14ac:dyDescent="0.25">
      <c r="A189">
        <v>14</v>
      </c>
      <c r="B189">
        <v>8.5000000000000006E-2</v>
      </c>
      <c r="C189">
        <v>0.3</v>
      </c>
      <c r="D189">
        <v>3.9295366653477579</v>
      </c>
      <c r="E189">
        <v>1.6146906320755723</v>
      </c>
      <c r="F189">
        <v>0.50037984875291563</v>
      </c>
      <c r="G189" s="166">
        <v>36.037263354901732</v>
      </c>
    </row>
    <row r="190" spans="1:7" x14ac:dyDescent="0.25">
      <c r="A190">
        <v>13</v>
      </c>
      <c r="B190">
        <v>8.5000000000000006E-2</v>
      </c>
      <c r="C190">
        <v>0.3</v>
      </c>
      <c r="D190">
        <v>3.8624991673168578</v>
      </c>
      <c r="E190">
        <v>1.5871441732213198</v>
      </c>
      <c r="F190">
        <v>0.49184341914754209</v>
      </c>
      <c r="G190" s="166">
        <v>35.534786103231426</v>
      </c>
    </row>
    <row r="191" spans="1:7" x14ac:dyDescent="0.25">
      <c r="A191">
        <v>12</v>
      </c>
      <c r="B191">
        <v>8.5000000000000006E-2</v>
      </c>
      <c r="C191">
        <v>0.3</v>
      </c>
      <c r="D191">
        <v>3.7888559945812732</v>
      </c>
      <c r="E191">
        <v>1.5568833686381542</v>
      </c>
      <c r="F191">
        <v>0.48246583528121223</v>
      </c>
      <c r="G191" s="166">
        <v>35.01661579746586</v>
      </c>
    </row>
    <row r="192" spans="1:7" x14ac:dyDescent="0.25">
      <c r="A192">
        <v>11</v>
      </c>
      <c r="B192">
        <v>8.5000000000000006E-2</v>
      </c>
      <c r="C192">
        <v>0.3</v>
      </c>
      <c r="D192">
        <v>3.7062272134440599</v>
      </c>
      <c r="E192">
        <v>1.5229302769114295</v>
      </c>
      <c r="F192">
        <v>0.4719440408486319</v>
      </c>
      <c r="G192" s="166">
        <v>34.380101898996195</v>
      </c>
    </row>
    <row r="193" spans="1:7" x14ac:dyDescent="0.25">
      <c r="A193">
        <v>10</v>
      </c>
      <c r="B193">
        <v>8.5000000000000006E-2</v>
      </c>
      <c r="C193">
        <v>0.3</v>
      </c>
      <c r="D193">
        <v>3.6115613297218485</v>
      </c>
      <c r="E193">
        <v>1.4840310049002132</v>
      </c>
      <c r="F193">
        <v>0.45988946428832145</v>
      </c>
      <c r="G193" s="166">
        <v>33.529461126376582</v>
      </c>
    </row>
    <row r="194" spans="1:7" x14ac:dyDescent="0.25">
      <c r="A194">
        <v>9</v>
      </c>
      <c r="B194">
        <v>8.5000000000000006E-2</v>
      </c>
      <c r="C194">
        <v>0.3</v>
      </c>
      <c r="D194">
        <v>3.5024831733312007</v>
      </c>
      <c r="E194">
        <v>1.4392095686120074</v>
      </c>
      <c r="F194">
        <v>0.44599965588462032</v>
      </c>
      <c r="G194" s="166">
        <v>32.648910300984483</v>
      </c>
    </row>
    <row r="195" spans="1:7" x14ac:dyDescent="0.25">
      <c r="A195">
        <v>8</v>
      </c>
      <c r="B195">
        <v>8.5000000000000006E-2</v>
      </c>
      <c r="C195">
        <v>0.3</v>
      </c>
      <c r="D195">
        <v>3.3760800248619769</v>
      </c>
      <c r="E195">
        <v>1.3872690990146712</v>
      </c>
      <c r="F195">
        <v>0.42990371539609329</v>
      </c>
      <c r="G195" s="166">
        <v>31.737689734976772</v>
      </c>
    </row>
    <row r="196" spans="1:7" x14ac:dyDescent="0.25">
      <c r="A196">
        <v>7</v>
      </c>
      <c r="B196">
        <v>8.5000000000000006E-2</v>
      </c>
      <c r="C196">
        <v>0.3</v>
      </c>
      <c r="D196">
        <v>3.2277050619244094</v>
      </c>
      <c r="E196">
        <v>1.3263001647373653</v>
      </c>
      <c r="F196">
        <v>0.41100992515152529</v>
      </c>
      <c r="G196" s="166">
        <v>30.792162917363672</v>
      </c>
    </row>
    <row r="197" spans="1:7" x14ac:dyDescent="0.25">
      <c r="A197">
        <v>6</v>
      </c>
      <c r="B197">
        <v>8.5000000000000006E-2</v>
      </c>
      <c r="C197">
        <v>0.3</v>
      </c>
      <c r="D197">
        <v>3.0483045203101535</v>
      </c>
      <c r="E197">
        <v>1.2525824726521111</v>
      </c>
      <c r="F197">
        <v>0.38816539575172437</v>
      </c>
      <c r="G197" s="166">
        <v>29.832638555795707</v>
      </c>
    </row>
    <row r="198" spans="1:7" x14ac:dyDescent="0.25">
      <c r="A198">
        <v>5</v>
      </c>
      <c r="B198">
        <v>8.5000000000000006E-2</v>
      </c>
      <c r="C198">
        <v>0.3</v>
      </c>
      <c r="D198">
        <v>2.8271534455234111</v>
      </c>
      <c r="E198">
        <v>1.1617090188221555</v>
      </c>
      <c r="F198">
        <v>0.36000443155226147</v>
      </c>
      <c r="G198" s="166">
        <v>28.881579508304366</v>
      </c>
    </row>
    <row r="199" spans="1:7" x14ac:dyDescent="0.25">
      <c r="A199">
        <v>4</v>
      </c>
      <c r="B199">
        <v>8.5000000000000006E-2</v>
      </c>
      <c r="C199">
        <v>0.3</v>
      </c>
      <c r="D199">
        <v>2.5439420721700592</v>
      </c>
      <c r="E199">
        <v>1.0453342931493912</v>
      </c>
      <c r="F199">
        <v>0.32394082501733834</v>
      </c>
      <c r="G199" s="166">
        <v>28.019898017457866</v>
      </c>
    </row>
    <row r="200" spans="1:7" x14ac:dyDescent="0.25">
      <c r="A200">
        <v>3</v>
      </c>
      <c r="B200">
        <v>8.5000000000000006E-2</v>
      </c>
      <c r="C200">
        <v>0.3</v>
      </c>
      <c r="D200">
        <v>2.1624615425305156</v>
      </c>
      <c r="E200">
        <v>0.88857967040719932</v>
      </c>
      <c r="F200">
        <v>0.27536380793374182</v>
      </c>
      <c r="G200" s="166">
        <v>27.519437363628512</v>
      </c>
    </row>
    <row r="201" spans="1:7" x14ac:dyDescent="0.25">
      <c r="A201">
        <v>2</v>
      </c>
      <c r="B201">
        <v>8.5000000000000006E-2</v>
      </c>
      <c r="C201">
        <v>0.3</v>
      </c>
      <c r="D201">
        <v>1.5954631887650432</v>
      </c>
      <c r="E201">
        <v>0.65559369567362158</v>
      </c>
      <c r="F201">
        <v>0.20316329813770684</v>
      </c>
      <c r="G201" s="166">
        <v>28.495188580111872</v>
      </c>
    </row>
    <row r="202" spans="1:7" x14ac:dyDescent="0.25">
      <c r="A202">
        <v>1</v>
      </c>
      <c r="B202">
        <v>8.5000000000000006E-2</v>
      </c>
      <c r="C202">
        <v>0.3</v>
      </c>
      <c r="D202">
        <v>0.86038039555550094</v>
      </c>
      <c r="E202">
        <v>0.35353994199262584</v>
      </c>
      <c r="F202">
        <v>0.10955923022541265</v>
      </c>
      <c r="G202" s="166">
        <v>27.58251092670675</v>
      </c>
    </row>
    <row r="203" spans="1:7" x14ac:dyDescent="0.25">
      <c r="A203">
        <v>50</v>
      </c>
      <c r="B203">
        <v>0.08</v>
      </c>
      <c r="C203">
        <v>0.3</v>
      </c>
      <c r="D203">
        <v>4.821446594314609</v>
      </c>
      <c r="E203">
        <v>1.9811864125216143</v>
      </c>
      <c r="F203">
        <v>0.613953990786824</v>
      </c>
      <c r="G203" s="166">
        <v>44.727687216566913</v>
      </c>
    </row>
    <row r="204" spans="1:7" x14ac:dyDescent="0.25">
      <c r="A204">
        <v>49</v>
      </c>
      <c r="B204">
        <v>0.08</v>
      </c>
      <c r="C204">
        <v>0.3</v>
      </c>
      <c r="D204">
        <v>4.8104250038362384</v>
      </c>
      <c r="E204">
        <v>1.9766575175368861</v>
      </c>
      <c r="F204">
        <v>0.61255052207123284</v>
      </c>
      <c r="G204" s="166">
        <v>44.594223873983267</v>
      </c>
    </row>
    <row r="205" spans="1:7" x14ac:dyDescent="0.25">
      <c r="A205">
        <v>48</v>
      </c>
      <c r="B205">
        <v>0.08</v>
      </c>
      <c r="C205">
        <v>0.3</v>
      </c>
      <c r="D205">
        <v>4.7987982092059864</v>
      </c>
      <c r="E205">
        <v>1.9718799373870206</v>
      </c>
      <c r="F205">
        <v>0.61106998779097788</v>
      </c>
      <c r="G205" s="166">
        <v>44.465405051128371</v>
      </c>
    </row>
    <row r="206" spans="1:7" x14ac:dyDescent="0.25">
      <c r="A206">
        <v>47</v>
      </c>
      <c r="B206">
        <v>0.08</v>
      </c>
      <c r="C206">
        <v>0.3</v>
      </c>
      <c r="D206">
        <v>4.7871714145757354</v>
      </c>
      <c r="E206">
        <v>1.9671023572371553</v>
      </c>
      <c r="F206">
        <v>0.6095894535107228</v>
      </c>
      <c r="G206" s="166">
        <v>44.335960493421659</v>
      </c>
    </row>
    <row r="207" spans="1:7" x14ac:dyDescent="0.25">
      <c r="A207">
        <v>46</v>
      </c>
      <c r="B207">
        <v>0.08</v>
      </c>
      <c r="C207">
        <v>0.3</v>
      </c>
      <c r="D207">
        <v>4.7755446199454834</v>
      </c>
      <c r="E207">
        <v>1.9623247770872898</v>
      </c>
      <c r="F207">
        <v>0.60810891923046773</v>
      </c>
      <c r="G207" s="166">
        <v>44.205885630521195</v>
      </c>
    </row>
    <row r="208" spans="1:7" x14ac:dyDescent="0.25">
      <c r="A208">
        <v>45</v>
      </c>
      <c r="B208">
        <v>0.08</v>
      </c>
      <c r="C208">
        <v>0.3</v>
      </c>
      <c r="D208">
        <v>4.7637966403748528</v>
      </c>
      <c r="E208">
        <v>1.9574974006879824</v>
      </c>
      <c r="F208">
        <v>0.60661295348658162</v>
      </c>
      <c r="G208" s="166">
        <v>44.032790772273273</v>
      </c>
    </row>
    <row r="209" spans="1:7" x14ac:dyDescent="0.25">
      <c r="A209">
        <v>44</v>
      </c>
      <c r="B209">
        <v>0.08</v>
      </c>
      <c r="C209">
        <v>0.3</v>
      </c>
      <c r="D209">
        <v>4.7506457187652353</v>
      </c>
      <c r="E209">
        <v>1.9520935396899504</v>
      </c>
      <c r="F209">
        <v>0.60493833972765909</v>
      </c>
      <c r="G209" s="166">
        <v>43.867488255592498</v>
      </c>
    </row>
    <row r="210" spans="1:7" x14ac:dyDescent="0.25">
      <c r="A210">
        <v>43</v>
      </c>
      <c r="B210">
        <v>0.08</v>
      </c>
      <c r="C210">
        <v>0.3</v>
      </c>
      <c r="D210">
        <v>4.7372299862454224</v>
      </c>
      <c r="E210">
        <v>1.9465808649226681</v>
      </c>
      <c r="F210">
        <v>0.60323000544276206</v>
      </c>
      <c r="G210" s="166">
        <v>43.704042852885763</v>
      </c>
    </row>
    <row r="211" spans="1:7" x14ac:dyDescent="0.25">
      <c r="A211">
        <v>42</v>
      </c>
      <c r="B211">
        <v>0.08</v>
      </c>
      <c r="C211">
        <v>0.3</v>
      </c>
      <c r="D211">
        <v>4.7234264482336483</v>
      </c>
      <c r="E211">
        <v>1.9409088365347773</v>
      </c>
      <c r="F211">
        <v>0.60147228873191028</v>
      </c>
      <c r="G211" s="166">
        <v>43.543031075160535</v>
      </c>
    </row>
    <row r="212" spans="1:7" x14ac:dyDescent="0.25">
      <c r="A212">
        <v>41</v>
      </c>
      <c r="B212">
        <v>0.08</v>
      </c>
      <c r="C212">
        <v>0.3</v>
      </c>
      <c r="D212">
        <v>4.7087493637206022</v>
      </c>
      <c r="E212">
        <v>1.9348778581045758</v>
      </c>
      <c r="F212">
        <v>0.59960333624355833</v>
      </c>
      <c r="G212" s="166">
        <v>43.388642690767192</v>
      </c>
    </row>
    <row r="213" spans="1:7" x14ac:dyDescent="0.25">
      <c r="A213">
        <v>40</v>
      </c>
      <c r="B213">
        <v>0.08</v>
      </c>
      <c r="C213">
        <v>0.3</v>
      </c>
      <c r="D213">
        <v>4.6940722792075551</v>
      </c>
      <c r="E213">
        <v>1.9288468796743745</v>
      </c>
      <c r="F213">
        <v>0.59773438375520638</v>
      </c>
      <c r="G213" s="166">
        <v>43.233288845583836</v>
      </c>
    </row>
    <row r="214" spans="1:7" x14ac:dyDescent="0.25">
      <c r="A214">
        <v>39</v>
      </c>
      <c r="B214">
        <v>0.08</v>
      </c>
      <c r="C214">
        <v>0.3</v>
      </c>
      <c r="D214">
        <v>4.6792951728139505</v>
      </c>
      <c r="E214">
        <v>1.9227748011330674</v>
      </c>
      <c r="F214">
        <v>0.59585269466767543</v>
      </c>
      <c r="G214" s="166">
        <v>43.043715771004209</v>
      </c>
    </row>
    <row r="215" spans="1:7" x14ac:dyDescent="0.25">
      <c r="A215">
        <v>38</v>
      </c>
      <c r="B215">
        <v>0.08</v>
      </c>
      <c r="C215">
        <v>0.3</v>
      </c>
      <c r="D215">
        <v>4.6630662348787268</v>
      </c>
      <c r="E215">
        <v>1.9161061487487734</v>
      </c>
      <c r="F215">
        <v>0.59378613206729081</v>
      </c>
      <c r="G215" s="166">
        <v>42.847511344524449</v>
      </c>
    </row>
    <row r="216" spans="1:7" x14ac:dyDescent="0.25">
      <c r="A216">
        <v>37</v>
      </c>
      <c r="B216">
        <v>0.08</v>
      </c>
      <c r="C216">
        <v>0.3</v>
      </c>
      <c r="D216">
        <v>4.6463192133543112</v>
      </c>
      <c r="E216">
        <v>1.9092246100144228</v>
      </c>
      <c r="F216">
        <v>0.59165359767173564</v>
      </c>
      <c r="G216" s="166">
        <v>42.655310909104706</v>
      </c>
    </row>
    <row r="217" spans="1:7" x14ac:dyDescent="0.25">
      <c r="A217">
        <v>36</v>
      </c>
      <c r="B217">
        <v>0.08</v>
      </c>
      <c r="C217">
        <v>0.3</v>
      </c>
      <c r="D217">
        <v>4.6287835024698127</v>
      </c>
      <c r="E217">
        <v>1.9020189899875946</v>
      </c>
      <c r="F217">
        <v>0.58942063304831394</v>
      </c>
      <c r="G217" s="166">
        <v>42.468542337175457</v>
      </c>
    </row>
    <row r="218" spans="1:7" x14ac:dyDescent="0.25">
      <c r="A218">
        <v>35</v>
      </c>
      <c r="B218">
        <v>0.08</v>
      </c>
      <c r="C218">
        <v>0.3</v>
      </c>
      <c r="D218">
        <v>4.6105770008872051</v>
      </c>
      <c r="E218">
        <v>1.8945377345491234</v>
      </c>
      <c r="F218">
        <v>0.58710225119211146</v>
      </c>
      <c r="G218" s="166">
        <v>42.286152337502472</v>
      </c>
    </row>
    <row r="219" spans="1:7" x14ac:dyDescent="0.25">
      <c r="A219">
        <v>34</v>
      </c>
      <c r="B219">
        <v>0.08</v>
      </c>
      <c r="C219">
        <v>0.3</v>
      </c>
      <c r="D219">
        <v>4.5922812665199402</v>
      </c>
      <c r="E219">
        <v>1.8870198123599047</v>
      </c>
      <c r="F219">
        <v>0.58477250660002089</v>
      </c>
      <c r="G219" s="166">
        <v>42.074108399120192</v>
      </c>
    </row>
    <row r="220" spans="1:7" x14ac:dyDescent="0.25">
      <c r="A220">
        <v>33</v>
      </c>
      <c r="B220">
        <v>0.08</v>
      </c>
      <c r="C220">
        <v>0.3</v>
      </c>
      <c r="D220">
        <v>4.5723450854790944</v>
      </c>
      <c r="E220">
        <v>1.878827812257224</v>
      </c>
      <c r="F220">
        <v>0.58223387059697795</v>
      </c>
      <c r="G220" s="166">
        <v>41.846411275132532</v>
      </c>
    </row>
    <row r="221" spans="1:7" x14ac:dyDescent="0.25">
      <c r="A221">
        <v>32</v>
      </c>
      <c r="B221">
        <v>0.08</v>
      </c>
      <c r="C221">
        <v>0.3</v>
      </c>
      <c r="D221">
        <v>4.5517617004266704</v>
      </c>
      <c r="E221">
        <v>1.8703698687765993</v>
      </c>
      <c r="F221">
        <v>0.57961282084569798</v>
      </c>
      <c r="G221" s="166">
        <v>41.623374730128852</v>
      </c>
    </row>
    <row r="222" spans="1:7" x14ac:dyDescent="0.25">
      <c r="A222">
        <v>31</v>
      </c>
      <c r="B222">
        <v>0.08</v>
      </c>
      <c r="C222">
        <v>0.3</v>
      </c>
      <c r="D222">
        <v>4.5298390046440682</v>
      </c>
      <c r="E222">
        <v>1.8613615875147989</v>
      </c>
      <c r="F222">
        <v>0.57682122577122275</v>
      </c>
      <c r="G222" s="166">
        <v>41.409882763874002</v>
      </c>
    </row>
    <row r="223" spans="1:7" x14ac:dyDescent="0.25">
      <c r="A223">
        <v>30</v>
      </c>
      <c r="B223">
        <v>0.08</v>
      </c>
      <c r="C223">
        <v>0.3</v>
      </c>
      <c r="D223">
        <v>4.5075372318536635</v>
      </c>
      <c r="E223">
        <v>1.8521975392643018</v>
      </c>
      <c r="F223">
        <v>0.57398135973963882</v>
      </c>
      <c r="G223" s="166">
        <v>41.184451487171536</v>
      </c>
    </row>
    <row r="224" spans="1:7" x14ac:dyDescent="0.25">
      <c r="A224">
        <v>29</v>
      </c>
      <c r="B224">
        <v>0.08</v>
      </c>
      <c r="C224">
        <v>0.3</v>
      </c>
      <c r="D224">
        <v>4.4837725439770413</v>
      </c>
      <c r="E224">
        <v>1.8424323628181913</v>
      </c>
      <c r="F224">
        <v>0.57095520883736406</v>
      </c>
      <c r="G224" s="166">
        <v>40.919652728021191</v>
      </c>
    </row>
    <row r="225" spans="1:7" x14ac:dyDescent="0.25">
      <c r="A225">
        <v>28</v>
      </c>
      <c r="B225">
        <v>0.08</v>
      </c>
      <c r="C225">
        <v>0.3</v>
      </c>
      <c r="D225">
        <v>4.4588011843497135</v>
      </c>
      <c r="E225">
        <v>1.8321713514333113</v>
      </c>
      <c r="F225">
        <v>0.56777540261143811</v>
      </c>
      <c r="G225" s="166">
        <v>40.664345437391411</v>
      </c>
    </row>
    <row r="226" spans="1:7" x14ac:dyDescent="0.25">
      <c r="A226">
        <v>27</v>
      </c>
      <c r="B226">
        <v>0.08</v>
      </c>
      <c r="C226">
        <v>0.3</v>
      </c>
      <c r="D226">
        <v>4.432208940134335</v>
      </c>
      <c r="E226">
        <v>1.8212443004150365</v>
      </c>
      <c r="F226">
        <v>0.56438919597394022</v>
      </c>
      <c r="G226" s="166">
        <v>40.420165690645149</v>
      </c>
    </row>
    <row r="227" spans="1:7" x14ac:dyDescent="0.25">
      <c r="A227">
        <v>26</v>
      </c>
      <c r="B227">
        <v>0.08</v>
      </c>
      <c r="C227">
        <v>0.3</v>
      </c>
      <c r="D227">
        <v>4.4051848438515906</v>
      </c>
      <c r="E227">
        <v>1.810139796544936</v>
      </c>
      <c r="F227">
        <v>0.56094799810196494</v>
      </c>
      <c r="G227" s="166">
        <v>40.135223826338361</v>
      </c>
    </row>
    <row r="228" spans="1:7" x14ac:dyDescent="0.25">
      <c r="A228">
        <v>25</v>
      </c>
      <c r="B228">
        <v>0.08</v>
      </c>
      <c r="C228">
        <v>0.3</v>
      </c>
      <c r="D228">
        <v>4.3752569301314574</v>
      </c>
      <c r="E228">
        <v>1.7978420815630123</v>
      </c>
      <c r="F228">
        <v>0.55713703354911337</v>
      </c>
      <c r="G228" s="166">
        <v>39.847231955070228</v>
      </c>
    </row>
    <row r="229" spans="1:7" x14ac:dyDescent="0.25">
      <c r="A229">
        <v>24</v>
      </c>
      <c r="B229">
        <v>0.08</v>
      </c>
      <c r="C229">
        <v>0.3</v>
      </c>
      <c r="D229">
        <v>4.344174508203249</v>
      </c>
      <c r="E229">
        <v>1.7850699662262903</v>
      </c>
      <c r="F229">
        <v>0.55317905608055729</v>
      </c>
      <c r="G229" s="166">
        <v>39.565310437788071</v>
      </c>
    </row>
    <row r="230" spans="1:7" x14ac:dyDescent="0.25">
      <c r="A230">
        <v>23</v>
      </c>
      <c r="B230">
        <v>0.08</v>
      </c>
      <c r="C230">
        <v>0.3</v>
      </c>
      <c r="D230">
        <v>4.3119037485344105</v>
      </c>
      <c r="E230">
        <v>1.7718095496009059</v>
      </c>
      <c r="F230">
        <v>0.54906975790689949</v>
      </c>
      <c r="G230" s="166">
        <v>39.250384876881945</v>
      </c>
    </row>
    <row r="231" spans="1:7" x14ac:dyDescent="0.25">
      <c r="A231">
        <v>22</v>
      </c>
      <c r="B231">
        <v>0.08</v>
      </c>
      <c r="C231">
        <v>0.3</v>
      </c>
      <c r="D231">
        <v>4.2763471277873721</v>
      </c>
      <c r="E231">
        <v>1.7571989358522679</v>
      </c>
      <c r="F231">
        <v>0.54454204432975861</v>
      </c>
      <c r="G231" s="166">
        <v>38.926896748863975</v>
      </c>
    </row>
    <row r="232" spans="1:7" x14ac:dyDescent="0.25">
      <c r="A232">
        <v>21</v>
      </c>
      <c r="B232">
        <v>0.08</v>
      </c>
      <c r="C232">
        <v>0.3</v>
      </c>
      <c r="D232">
        <v>4.2390683438926411</v>
      </c>
      <c r="E232">
        <v>1.741880665975617</v>
      </c>
      <c r="F232">
        <v>0.53979503371870285</v>
      </c>
      <c r="G232" s="166">
        <v>38.612989889423133</v>
      </c>
    </row>
    <row r="233" spans="1:7" x14ac:dyDescent="0.25">
      <c r="A233">
        <v>20</v>
      </c>
      <c r="B233">
        <v>0.08</v>
      </c>
      <c r="C233">
        <v>0.3</v>
      </c>
      <c r="D233">
        <v>4.1992793891369526</v>
      </c>
      <c r="E233">
        <v>1.7255309387747888</v>
      </c>
      <c r="F233">
        <v>0.5347283826454966</v>
      </c>
      <c r="G233" s="166">
        <v>38.245383793196737</v>
      </c>
    </row>
    <row r="234" spans="1:7" x14ac:dyDescent="0.25">
      <c r="A234">
        <v>19</v>
      </c>
      <c r="B234">
        <v>0.08</v>
      </c>
      <c r="C234">
        <v>0.3</v>
      </c>
      <c r="D234">
        <v>4.1566227299412395</v>
      </c>
      <c r="E234">
        <v>1.7080028396972697</v>
      </c>
      <c r="F234">
        <v>0.52929656345294884</v>
      </c>
      <c r="G234" s="166">
        <v>37.888694493025767</v>
      </c>
    </row>
    <row r="235" spans="1:7" x14ac:dyDescent="0.25">
      <c r="A235">
        <v>18</v>
      </c>
      <c r="B235">
        <v>0.08</v>
      </c>
      <c r="C235">
        <v>0.3</v>
      </c>
      <c r="D235">
        <v>4.1109739402473249</v>
      </c>
      <c r="E235">
        <v>1.6892452406820107</v>
      </c>
      <c r="F235">
        <v>0.52348373195955122</v>
      </c>
      <c r="G235" s="166">
        <v>37.499134239984578</v>
      </c>
    </row>
    <row r="236" spans="1:7" x14ac:dyDescent="0.25">
      <c r="A236">
        <v>17</v>
      </c>
      <c r="B236">
        <v>0.08</v>
      </c>
      <c r="C236">
        <v>0.3</v>
      </c>
      <c r="D236">
        <v>4.0614072354049364</v>
      </c>
      <c r="E236">
        <v>1.6688777264461365</v>
      </c>
      <c r="F236">
        <v>0.5171720004796212</v>
      </c>
      <c r="G236" s="166">
        <v>37.10392685985348</v>
      </c>
    </row>
    <row r="237" spans="1:7" x14ac:dyDescent="0.25">
      <c r="A237">
        <v>16</v>
      </c>
      <c r="B237">
        <v>0.08</v>
      </c>
      <c r="C237">
        <v>0.3</v>
      </c>
      <c r="D237">
        <v>4.0078834364090588</v>
      </c>
      <c r="E237">
        <v>1.6468841978976274</v>
      </c>
      <c r="F237">
        <v>0.51035638003194461</v>
      </c>
      <c r="G237" s="166">
        <v>36.677157557319383</v>
      </c>
    </row>
    <row r="238" spans="1:7" x14ac:dyDescent="0.25">
      <c r="A238">
        <v>15</v>
      </c>
      <c r="B238">
        <v>0.08</v>
      </c>
      <c r="C238">
        <v>0.3</v>
      </c>
      <c r="D238">
        <v>3.9496732340875531</v>
      </c>
      <c r="E238">
        <v>1.6229649737283727</v>
      </c>
      <c r="F238">
        <v>0.50294400175071696</v>
      </c>
      <c r="G238" s="166">
        <v>36.247819921620277</v>
      </c>
    </row>
    <row r="239" spans="1:7" x14ac:dyDescent="0.25">
      <c r="A239">
        <v>14</v>
      </c>
      <c r="B239">
        <v>0.08</v>
      </c>
      <c r="C239">
        <v>0.3</v>
      </c>
      <c r="D239">
        <v>3.8859809120629136</v>
      </c>
      <c r="E239">
        <v>1.5967930851657233</v>
      </c>
      <c r="F239">
        <v>0.4948335406008168</v>
      </c>
      <c r="G239" s="166">
        <v>35.768448046940357</v>
      </c>
    </row>
    <row r="240" spans="1:7" x14ac:dyDescent="0.25">
      <c r="A240">
        <v>13</v>
      </c>
      <c r="B240">
        <v>0.08</v>
      </c>
      <c r="C240">
        <v>0.3</v>
      </c>
      <c r="D240">
        <v>3.8164446940565235</v>
      </c>
      <c r="E240">
        <v>1.5682198742843976</v>
      </c>
      <c r="F240">
        <v>0.48597892866762898</v>
      </c>
      <c r="G240" s="166">
        <v>35.275726673981922</v>
      </c>
    </row>
    <row r="241" spans="1:7" x14ac:dyDescent="0.25">
      <c r="A241">
        <v>12</v>
      </c>
      <c r="B241">
        <v>0.08</v>
      </c>
      <c r="C241">
        <v>0.3</v>
      </c>
      <c r="D241">
        <v>3.7386867309417009</v>
      </c>
      <c r="E241">
        <v>1.5362682562430197</v>
      </c>
      <c r="F241">
        <v>0.47607737509113718</v>
      </c>
      <c r="G241" s="166">
        <v>34.685930655429537</v>
      </c>
    </row>
    <row r="242" spans="1:7" x14ac:dyDescent="0.25">
      <c r="A242">
        <v>11</v>
      </c>
      <c r="B242">
        <v>0.08</v>
      </c>
      <c r="C242">
        <v>0.3</v>
      </c>
      <c r="D242">
        <v>3.6501068565496664</v>
      </c>
      <c r="E242">
        <v>1.4998697936373548</v>
      </c>
      <c r="F242">
        <v>0.46479777957502921</v>
      </c>
      <c r="G242" s="166">
        <v>33.891056247714893</v>
      </c>
    </row>
    <row r="243" spans="1:7" x14ac:dyDescent="0.25">
      <c r="A243">
        <v>10</v>
      </c>
      <c r="B243">
        <v>0.08</v>
      </c>
      <c r="C243">
        <v>0.3</v>
      </c>
      <c r="D243">
        <v>3.5490236674974649</v>
      </c>
      <c r="E243">
        <v>1.4583335789832872</v>
      </c>
      <c r="F243">
        <v>0.45192603535759063</v>
      </c>
      <c r="G243" s="166">
        <v>33.068597813827218</v>
      </c>
    </row>
    <row r="244" spans="1:7" x14ac:dyDescent="0.25">
      <c r="A244">
        <v>9</v>
      </c>
      <c r="B244">
        <v>0.08</v>
      </c>
      <c r="C244">
        <v>0.3</v>
      </c>
      <c r="D244">
        <v>3.4323623536743852</v>
      </c>
      <c r="E244">
        <v>1.4103961383641692</v>
      </c>
      <c r="F244">
        <v>0.43707060187076685</v>
      </c>
      <c r="G244" s="166">
        <v>32.224377692724822</v>
      </c>
    </row>
    <row r="245" spans="1:7" x14ac:dyDescent="0.25">
      <c r="A245">
        <v>8</v>
      </c>
      <c r="B245">
        <v>0.08</v>
      </c>
      <c r="C245">
        <v>0.3</v>
      </c>
      <c r="D245">
        <v>3.2975399280842903</v>
      </c>
      <c r="E245">
        <v>1.3549960934902359</v>
      </c>
      <c r="F245">
        <v>0.41990256638195617</v>
      </c>
      <c r="G245" s="166">
        <v>31.356646057708275</v>
      </c>
    </row>
    <row r="246" spans="1:7" x14ac:dyDescent="0.25">
      <c r="A246">
        <v>7</v>
      </c>
      <c r="B246">
        <v>0.08</v>
      </c>
      <c r="C246">
        <v>0.3</v>
      </c>
      <c r="D246">
        <v>3.1374878600296716</v>
      </c>
      <c r="E246">
        <v>1.2892289059204911</v>
      </c>
      <c r="F246">
        <v>0.39952183541385006</v>
      </c>
      <c r="G246" s="166">
        <v>30.466497207899682</v>
      </c>
    </row>
    <row r="247" spans="1:7" x14ac:dyDescent="0.25">
      <c r="A247">
        <v>6</v>
      </c>
      <c r="B247">
        <v>0.08</v>
      </c>
      <c r="C247">
        <v>0.3</v>
      </c>
      <c r="D247">
        <v>2.944883854593273</v>
      </c>
      <c r="E247">
        <v>1.2100857626535322</v>
      </c>
      <c r="F247">
        <v>0.37499600162806407</v>
      </c>
      <c r="G247" s="166">
        <v>29.582847751155224</v>
      </c>
    </row>
    <row r="248" spans="1:7" x14ac:dyDescent="0.25">
      <c r="A248">
        <v>5</v>
      </c>
      <c r="B248">
        <v>0.08</v>
      </c>
      <c r="C248">
        <v>0.3</v>
      </c>
      <c r="D248">
        <v>2.7058647045900286</v>
      </c>
      <c r="E248">
        <v>1.1118701165697848</v>
      </c>
      <c r="F248">
        <v>0.3445597501528308</v>
      </c>
      <c r="G248" s="166">
        <v>28.761482049888887</v>
      </c>
    </row>
    <row r="249" spans="1:7" x14ac:dyDescent="0.25">
      <c r="A249">
        <v>4</v>
      </c>
      <c r="B249">
        <v>0.08</v>
      </c>
      <c r="C249">
        <v>0.3</v>
      </c>
      <c r="D249">
        <v>2.3999596103797511</v>
      </c>
      <c r="E249">
        <v>0.98617028679562557</v>
      </c>
      <c r="F249">
        <v>0.30560636765267318</v>
      </c>
      <c r="G249" s="166">
        <v>28.121820908290346</v>
      </c>
    </row>
    <row r="250" spans="1:7" x14ac:dyDescent="0.25">
      <c r="A250">
        <v>3</v>
      </c>
      <c r="B250">
        <v>0.08</v>
      </c>
      <c r="C250">
        <v>0.3</v>
      </c>
      <c r="D250">
        <v>1.9851563730122588</v>
      </c>
      <c r="E250">
        <v>0.81572299018727712</v>
      </c>
      <c r="F250">
        <v>0.25278609929724433</v>
      </c>
      <c r="G250" s="166">
        <v>28.097569707902466</v>
      </c>
    </row>
    <row r="251" spans="1:7" x14ac:dyDescent="0.25">
      <c r="A251">
        <v>2</v>
      </c>
      <c r="B251">
        <v>0.08</v>
      </c>
      <c r="C251">
        <v>0.3</v>
      </c>
      <c r="D251">
        <v>1.3950163419928647</v>
      </c>
      <c r="E251">
        <v>0.5732278410510433</v>
      </c>
      <c r="F251">
        <v>0.17763877160628555</v>
      </c>
      <c r="G251" s="166">
        <v>28.583563918493937</v>
      </c>
    </row>
    <row r="252" spans="1:7" x14ac:dyDescent="0.25">
      <c r="A252">
        <v>1</v>
      </c>
      <c r="B252">
        <v>0.08</v>
      </c>
      <c r="C252">
        <v>0.3</v>
      </c>
      <c r="D252">
        <v>0.75412858678545369</v>
      </c>
      <c r="E252">
        <v>0.30987988360075502</v>
      </c>
      <c r="F252">
        <v>9.6029323641025344E-2</v>
      </c>
      <c r="G252" s="166">
        <v>27.482316954539847</v>
      </c>
    </row>
    <row r="253" spans="1:7" x14ac:dyDescent="0.25">
      <c r="A253">
        <v>50</v>
      </c>
      <c r="B253">
        <v>7.4999999999999997E-2</v>
      </c>
      <c r="C253">
        <v>0.3</v>
      </c>
      <c r="D253">
        <v>4.8106941635751177</v>
      </c>
      <c r="E253">
        <v>1.9767681182885559</v>
      </c>
      <c r="F253">
        <v>0.61258479636891761</v>
      </c>
      <c r="G253" s="166">
        <v>44.614360835637903</v>
      </c>
    </row>
    <row r="254" spans="1:7" x14ac:dyDescent="0.25">
      <c r="A254">
        <v>49</v>
      </c>
      <c r="B254">
        <v>7.4999999999999997E-2</v>
      </c>
      <c r="C254">
        <v>0.3</v>
      </c>
      <c r="D254">
        <v>4.7992918695404221</v>
      </c>
      <c r="E254">
        <v>1.9720827879481235</v>
      </c>
      <c r="F254">
        <v>0.61113284957457148</v>
      </c>
      <c r="G254" s="166">
        <v>44.487749481270967</v>
      </c>
    </row>
    <row r="255" spans="1:7" x14ac:dyDescent="0.25">
      <c r="A255">
        <v>48</v>
      </c>
      <c r="B255">
        <v>7.4999999999999997E-2</v>
      </c>
      <c r="C255">
        <v>0.3</v>
      </c>
      <c r="D255">
        <v>4.7878895755057256</v>
      </c>
      <c r="E255">
        <v>1.9673974576076909</v>
      </c>
      <c r="F255">
        <v>0.60968090278022513</v>
      </c>
      <c r="G255" s="166">
        <v>44.36053508046033</v>
      </c>
    </row>
    <row r="256" spans="1:7" x14ac:dyDescent="0.25">
      <c r="A256">
        <v>47</v>
      </c>
      <c r="B256">
        <v>7.4999999999999997E-2</v>
      </c>
      <c r="C256">
        <v>0.3</v>
      </c>
      <c r="D256">
        <v>4.7764359509186392</v>
      </c>
      <c r="E256">
        <v>1.9626910349683082</v>
      </c>
      <c r="F256">
        <v>0.60822241964935164</v>
      </c>
      <c r="G256" s="166">
        <v>44.214809381944285</v>
      </c>
    </row>
    <row r="257" spans="1:7" x14ac:dyDescent="0.25">
      <c r="A257">
        <v>46</v>
      </c>
      <c r="B257">
        <v>7.4999999999999997E-2</v>
      </c>
      <c r="C257">
        <v>0.3</v>
      </c>
      <c r="D257">
        <v>4.7644017976040605</v>
      </c>
      <c r="E257">
        <v>1.9577460665720681</v>
      </c>
      <c r="F257">
        <v>0.6066900130762003</v>
      </c>
      <c r="G257" s="166">
        <v>44.04483706868546</v>
      </c>
    </row>
    <row r="258" spans="1:7" x14ac:dyDescent="0.25">
      <c r="A258">
        <v>45</v>
      </c>
      <c r="B258">
        <v>7.4999999999999997E-2</v>
      </c>
      <c r="C258">
        <v>0.3</v>
      </c>
      <c r="D258">
        <v>4.7512668385781724</v>
      </c>
      <c r="E258">
        <v>1.9523487647784934</v>
      </c>
      <c r="F258">
        <v>0.60501743196283175</v>
      </c>
      <c r="G258" s="166">
        <v>43.885544780372335</v>
      </c>
    </row>
    <row r="259" spans="1:7" x14ac:dyDescent="0.25">
      <c r="A259">
        <v>44</v>
      </c>
      <c r="B259">
        <v>7.4999999999999997E-2</v>
      </c>
      <c r="C259">
        <v>0.3</v>
      </c>
      <c r="D259">
        <v>4.7381318795522835</v>
      </c>
      <c r="E259">
        <v>1.9469514629849185</v>
      </c>
      <c r="F259">
        <v>0.6033448508494631</v>
      </c>
      <c r="G259" s="166">
        <v>43.725369317958801</v>
      </c>
    </row>
    <row r="260" spans="1:7" x14ac:dyDescent="0.25">
      <c r="A260">
        <v>43</v>
      </c>
      <c r="B260">
        <v>7.4999999999999997E-2</v>
      </c>
      <c r="C260">
        <v>0.3</v>
      </c>
      <c r="D260">
        <v>4.7241451716145555</v>
      </c>
      <c r="E260">
        <v>1.941204168022695</v>
      </c>
      <c r="F260">
        <v>0.60156380962286038</v>
      </c>
      <c r="G260" s="166">
        <v>43.571690700201913</v>
      </c>
    </row>
    <row r="261" spans="1:7" x14ac:dyDescent="0.25">
      <c r="A261">
        <v>42</v>
      </c>
      <c r="B261">
        <v>7.4999999999999997E-2</v>
      </c>
      <c r="C261">
        <v>0.3</v>
      </c>
      <c r="D261">
        <v>4.7097885377317592</v>
      </c>
      <c r="E261">
        <v>1.9353048663459569</v>
      </c>
      <c r="F261">
        <v>0.59973566271836043</v>
      </c>
      <c r="G261" s="166">
        <v>43.420306050041297</v>
      </c>
    </row>
    <row r="262" spans="1:7" x14ac:dyDescent="0.25">
      <c r="A262">
        <v>41</v>
      </c>
      <c r="B262">
        <v>7.4999999999999997E-2</v>
      </c>
      <c r="C262">
        <v>0.3</v>
      </c>
      <c r="D262">
        <v>4.6954188879685503</v>
      </c>
      <c r="E262">
        <v>1.9294002162981612</v>
      </c>
      <c r="F262">
        <v>0.59790585839599497</v>
      </c>
      <c r="G262" s="166">
        <v>43.263684903595056</v>
      </c>
    </row>
    <row r="263" spans="1:7" x14ac:dyDescent="0.25">
      <c r="A263">
        <v>40</v>
      </c>
      <c r="B263">
        <v>7.4999999999999997E-2</v>
      </c>
      <c r="C263">
        <v>0.3</v>
      </c>
      <c r="D263">
        <v>4.6806243079908434</v>
      </c>
      <c r="E263">
        <v>1.923320957665418</v>
      </c>
      <c r="F263">
        <v>0.59602194425494881</v>
      </c>
      <c r="G263" s="166">
        <v>43.06220150488781</v>
      </c>
    </row>
    <row r="264" spans="1:7" x14ac:dyDescent="0.25">
      <c r="A264">
        <v>39</v>
      </c>
      <c r="B264">
        <v>7.4999999999999997E-2</v>
      </c>
      <c r="C264">
        <v>0.3</v>
      </c>
      <c r="D264">
        <v>4.6642703846565761</v>
      </c>
      <c r="E264">
        <v>1.9166009473806467</v>
      </c>
      <c r="F264">
        <v>0.59393946624763572</v>
      </c>
      <c r="G264" s="166">
        <v>42.875624378894656</v>
      </c>
    </row>
    <row r="265" spans="1:7" x14ac:dyDescent="0.25">
      <c r="A265">
        <v>38</v>
      </c>
      <c r="B265">
        <v>7.4999999999999997E-2</v>
      </c>
      <c r="C265">
        <v>0.3</v>
      </c>
      <c r="D265">
        <v>4.6479164613223087</v>
      </c>
      <c r="E265">
        <v>1.9098809370958751</v>
      </c>
      <c r="F265">
        <v>0.59185698824032251</v>
      </c>
      <c r="G265" s="166">
        <v>42.687734291259488</v>
      </c>
    </row>
    <row r="266" spans="1:7" x14ac:dyDescent="0.25">
      <c r="A266">
        <v>37</v>
      </c>
      <c r="B266">
        <v>7.4999999999999997E-2</v>
      </c>
      <c r="C266">
        <v>0.3</v>
      </c>
      <c r="D266">
        <v>4.6303147816434258</v>
      </c>
      <c r="E266">
        <v>1.9026482097524919</v>
      </c>
      <c r="F266">
        <v>0.58961562327401862</v>
      </c>
      <c r="G266" s="166">
        <v>42.509317141126211</v>
      </c>
    </row>
    <row r="267" spans="1:7" x14ac:dyDescent="0.25">
      <c r="A267">
        <v>36</v>
      </c>
      <c r="B267">
        <v>7.4999999999999997E-2</v>
      </c>
      <c r="C267">
        <v>0.3</v>
      </c>
      <c r="D267">
        <v>4.6125526009038138</v>
      </c>
      <c r="E267">
        <v>1.8953495307254198</v>
      </c>
      <c r="F267">
        <v>0.58735382040285944</v>
      </c>
      <c r="G267" s="166">
        <v>42.330927012440398</v>
      </c>
    </row>
    <row r="268" spans="1:7" x14ac:dyDescent="0.25">
      <c r="A268">
        <v>35</v>
      </c>
      <c r="B268">
        <v>7.4999999999999997E-2</v>
      </c>
      <c r="C268">
        <v>0.3</v>
      </c>
      <c r="D268">
        <v>4.5944589023170952</v>
      </c>
      <c r="E268">
        <v>1.8879146273015099</v>
      </c>
      <c r="F268">
        <v>0.58504980266915496</v>
      </c>
      <c r="G268" s="166">
        <v>42.103081663543698</v>
      </c>
    </row>
    <row r="269" spans="1:7" x14ac:dyDescent="0.25">
      <c r="A269">
        <v>34</v>
      </c>
      <c r="B269">
        <v>7.4999999999999997E-2</v>
      </c>
      <c r="C269">
        <v>0.3</v>
      </c>
      <c r="D269">
        <v>4.5744120283651704</v>
      </c>
      <c r="E269">
        <v>1.8796771422417522</v>
      </c>
      <c r="F269">
        <v>0.58249707123786676</v>
      </c>
      <c r="G269" s="166">
        <v>41.887512596265481</v>
      </c>
    </row>
    <row r="270" spans="1:7" x14ac:dyDescent="0.25">
      <c r="A270">
        <v>33</v>
      </c>
      <c r="B270">
        <v>7.4999999999999997E-2</v>
      </c>
      <c r="C270">
        <v>0.3</v>
      </c>
      <c r="D270">
        <v>4.5542045859011582</v>
      </c>
      <c r="E270">
        <v>1.8713736777817864</v>
      </c>
      <c r="F270">
        <v>0.5799238933125932</v>
      </c>
      <c r="G270" s="166">
        <v>41.671435178670521</v>
      </c>
    </row>
    <row r="271" spans="1:7" x14ac:dyDescent="0.25">
      <c r="A271">
        <v>32</v>
      </c>
      <c r="B271">
        <v>7.4999999999999997E-2</v>
      </c>
      <c r="C271">
        <v>0.3</v>
      </c>
      <c r="D271">
        <v>4.5325468106685944</v>
      </c>
      <c r="E271">
        <v>1.8624742553414759</v>
      </c>
      <c r="F271">
        <v>0.57716603272542499</v>
      </c>
      <c r="G271" s="166">
        <v>41.465971939941376</v>
      </c>
    </row>
    <row r="272" spans="1:7" x14ac:dyDescent="0.25">
      <c r="A272">
        <v>31</v>
      </c>
      <c r="B272">
        <v>7.4999999999999997E-2</v>
      </c>
      <c r="C272">
        <v>0.3</v>
      </c>
      <c r="D272">
        <v>4.5107763483777568</v>
      </c>
      <c r="E272">
        <v>1.8535285285266685</v>
      </c>
      <c r="F272">
        <v>0.57439382277903772</v>
      </c>
      <c r="G272" s="166">
        <v>41.224690352281343</v>
      </c>
    </row>
    <row r="273" spans="1:7" x14ac:dyDescent="0.25">
      <c r="A273">
        <v>30</v>
      </c>
      <c r="B273">
        <v>7.4999999999999997E-2</v>
      </c>
      <c r="C273">
        <v>0.3</v>
      </c>
      <c r="D273">
        <v>4.4868883408242777</v>
      </c>
      <c r="E273">
        <v>1.8437126786439855</v>
      </c>
      <c r="F273">
        <v>0.57135196857978188</v>
      </c>
      <c r="G273" s="166">
        <v>40.975358417698381</v>
      </c>
    </row>
    <row r="274" spans="1:7" x14ac:dyDescent="0.25">
      <c r="A274">
        <v>29</v>
      </c>
      <c r="B274">
        <v>7.4999999999999997E-2</v>
      </c>
      <c r="C274">
        <v>0.3</v>
      </c>
      <c r="D274">
        <v>4.4624459260994893</v>
      </c>
      <c r="E274">
        <v>1.8336690166444789</v>
      </c>
      <c r="F274">
        <v>0.56823951720835197</v>
      </c>
      <c r="G274" s="166">
        <v>40.728725889475967</v>
      </c>
    </row>
    <row r="275" spans="1:7" x14ac:dyDescent="0.25">
      <c r="A275">
        <v>28</v>
      </c>
      <c r="B275">
        <v>7.4999999999999997E-2</v>
      </c>
      <c r="C275">
        <v>0.3</v>
      </c>
      <c r="D275">
        <v>4.4363604849371283</v>
      </c>
      <c r="E275">
        <v>1.8229502166775884</v>
      </c>
      <c r="F275">
        <v>0.56491784592364835</v>
      </c>
      <c r="G275" s="166">
        <v>40.49358514265483</v>
      </c>
    </row>
    <row r="276" spans="1:7" x14ac:dyDescent="0.25">
      <c r="A276">
        <v>27</v>
      </c>
      <c r="B276">
        <v>7.4999999999999997E-2</v>
      </c>
      <c r="C276">
        <v>0.3</v>
      </c>
      <c r="D276">
        <v>4.4093418854970645</v>
      </c>
      <c r="E276">
        <v>1.8118479715217179</v>
      </c>
      <c r="F276">
        <v>0.56147734800933813</v>
      </c>
      <c r="G276" s="166">
        <v>40.204501778392967</v>
      </c>
    </row>
    <row r="277" spans="1:7" x14ac:dyDescent="0.25">
      <c r="A277">
        <v>26</v>
      </c>
      <c r="B277">
        <v>7.4999999999999997E-2</v>
      </c>
      <c r="C277">
        <v>0.3</v>
      </c>
      <c r="D277">
        <v>4.3803209861058834</v>
      </c>
      <c r="E277">
        <v>1.7999229588873844</v>
      </c>
      <c r="F277">
        <v>0.55778188096456183</v>
      </c>
      <c r="G277" s="166">
        <v>39.925549402367956</v>
      </c>
    </row>
    <row r="278" spans="1:7" x14ac:dyDescent="0.25">
      <c r="A278">
        <v>25</v>
      </c>
      <c r="B278">
        <v>7.4999999999999997E-2</v>
      </c>
      <c r="C278">
        <v>0.3</v>
      </c>
      <c r="D278">
        <v>4.3497976226165544</v>
      </c>
      <c r="E278">
        <v>1.7873805669254319</v>
      </c>
      <c r="F278">
        <v>0.55389509295189199</v>
      </c>
      <c r="G278" s="166">
        <v>39.655886418087334</v>
      </c>
    </row>
    <row r="279" spans="1:7" x14ac:dyDescent="0.25">
      <c r="A279">
        <v>24</v>
      </c>
      <c r="B279">
        <v>7.4999999999999997E-2</v>
      </c>
      <c r="C279">
        <v>0.3</v>
      </c>
      <c r="D279">
        <v>4.3178481089417362</v>
      </c>
      <c r="E279">
        <v>1.7742521538773925</v>
      </c>
      <c r="F279">
        <v>0.54982670164222081</v>
      </c>
      <c r="G279" s="166">
        <v>39.3397527708658</v>
      </c>
    </row>
    <row r="280" spans="1:7" x14ac:dyDescent="0.25">
      <c r="A280">
        <v>23</v>
      </c>
      <c r="B280">
        <v>7.4999999999999997E-2</v>
      </c>
      <c r="C280">
        <v>0.3</v>
      </c>
      <c r="D280">
        <v>4.2834544421469642</v>
      </c>
      <c r="E280">
        <v>1.7601194109344453</v>
      </c>
      <c r="F280">
        <v>0.54544707644605206</v>
      </c>
      <c r="G280" s="166">
        <v>39.027526322575333</v>
      </c>
    </row>
    <row r="281" spans="1:7" x14ac:dyDescent="0.25">
      <c r="A281">
        <v>22</v>
      </c>
      <c r="B281">
        <v>7.4999999999999997E-2</v>
      </c>
      <c r="C281">
        <v>0.3</v>
      </c>
      <c r="D281">
        <v>4.2470659101620036</v>
      </c>
      <c r="E281">
        <v>1.7451669555395803</v>
      </c>
      <c r="F281">
        <v>0.54081342884796701</v>
      </c>
      <c r="G281" s="166">
        <v>38.720473001446706</v>
      </c>
    </row>
    <row r="282" spans="1:7" x14ac:dyDescent="0.25">
      <c r="A282">
        <v>21</v>
      </c>
      <c r="B282">
        <v>7.4999999999999997E-2</v>
      </c>
      <c r="C282">
        <v>0.3</v>
      </c>
      <c r="D282">
        <v>4.2080400515430734</v>
      </c>
      <c r="E282">
        <v>1.7291307930890856</v>
      </c>
      <c r="F282">
        <v>0.53584394900944143</v>
      </c>
      <c r="G282" s="166">
        <v>38.363779814888893</v>
      </c>
    </row>
    <row r="283" spans="1:7" x14ac:dyDescent="0.25">
      <c r="A283">
        <v>20</v>
      </c>
      <c r="B283">
        <v>7.4999999999999997E-2</v>
      </c>
      <c r="C283">
        <v>0.3</v>
      </c>
      <c r="D283">
        <v>4.1666579230373024</v>
      </c>
      <c r="E283">
        <v>1.7121264129485831</v>
      </c>
      <c r="F283">
        <v>0.53057442617093686</v>
      </c>
      <c r="G283" s="166">
        <v>38.022829406276045</v>
      </c>
    </row>
    <row r="284" spans="1:7" x14ac:dyDescent="0.25">
      <c r="A284">
        <v>19</v>
      </c>
      <c r="B284">
        <v>7.4999999999999997E-2</v>
      </c>
      <c r="C284">
        <v>0.3</v>
      </c>
      <c r="D284">
        <v>4.1221775114911408</v>
      </c>
      <c r="E284">
        <v>1.6938489136016983</v>
      </c>
      <c r="F284">
        <v>0.52491037376541838</v>
      </c>
      <c r="G284" s="166">
        <v>37.640760201727048</v>
      </c>
    </row>
    <row r="285" spans="1:7" x14ac:dyDescent="0.25">
      <c r="A285">
        <v>18</v>
      </c>
      <c r="B285">
        <v>7.4999999999999997E-2</v>
      </c>
      <c r="C285">
        <v>0.3</v>
      </c>
      <c r="D285">
        <v>4.0743691327425902</v>
      </c>
      <c r="E285">
        <v>1.6742039152534836</v>
      </c>
      <c r="F285">
        <v>0.51882254424132235</v>
      </c>
      <c r="G285" s="166">
        <v>37.263281643477654</v>
      </c>
    </row>
    <row r="286" spans="1:7" x14ac:dyDescent="0.25">
      <c r="A286">
        <v>17</v>
      </c>
      <c r="B286">
        <v>7.4999999999999997E-2</v>
      </c>
      <c r="C286">
        <v>0.3</v>
      </c>
      <c r="D286">
        <v>4.0226195238363056</v>
      </c>
      <c r="E286">
        <v>1.6529394212861885</v>
      </c>
      <c r="F286">
        <v>0.5122328458410258</v>
      </c>
      <c r="G286" s="166">
        <v>36.848751714840276</v>
      </c>
    </row>
    <row r="287" spans="1:7" x14ac:dyDescent="0.25">
      <c r="A287">
        <v>16</v>
      </c>
      <c r="B287">
        <v>7.4999999999999997E-2</v>
      </c>
      <c r="C287">
        <v>0.3</v>
      </c>
      <c r="D287">
        <v>3.9668069817037774</v>
      </c>
      <c r="E287">
        <v>1.6300054225457186</v>
      </c>
      <c r="F287">
        <v>0.50512578112343043</v>
      </c>
      <c r="G287" s="166">
        <v>36.439117139697032</v>
      </c>
    </row>
    <row r="288" spans="1:7" x14ac:dyDescent="0.25">
      <c r="A288">
        <v>15</v>
      </c>
      <c r="B288">
        <v>7.4999999999999997E-2</v>
      </c>
      <c r="C288">
        <v>0.3</v>
      </c>
      <c r="D288">
        <v>3.9057109038615114</v>
      </c>
      <c r="E288">
        <v>1.6049003597991576</v>
      </c>
      <c r="F288">
        <v>0.49734592085142965</v>
      </c>
      <c r="G288" s="166">
        <v>35.978403062530411</v>
      </c>
    </row>
    <row r="289" spans="1:7" x14ac:dyDescent="0.25">
      <c r="A289">
        <v>14</v>
      </c>
      <c r="B289">
        <v>7.4999999999999997E-2</v>
      </c>
      <c r="C289">
        <v>0.3</v>
      </c>
      <c r="D289">
        <v>3.8396571700670674</v>
      </c>
      <c r="E289">
        <v>1.5777581406891945</v>
      </c>
      <c r="F289">
        <v>0.48893476194379182</v>
      </c>
      <c r="G289" s="166">
        <v>35.507308700035999</v>
      </c>
    </row>
    <row r="290" spans="1:7" x14ac:dyDescent="0.25">
      <c r="A290">
        <v>13</v>
      </c>
      <c r="B290">
        <v>7.4999999999999997E-2</v>
      </c>
      <c r="C290">
        <v>0.3</v>
      </c>
      <c r="D290">
        <v>3.7659302015310718</v>
      </c>
      <c r="E290">
        <v>1.5474629034730107</v>
      </c>
      <c r="F290">
        <v>0.47954650767697798</v>
      </c>
      <c r="G290" s="166">
        <v>34.94164841616665</v>
      </c>
    </row>
    <row r="291" spans="1:7" x14ac:dyDescent="0.25">
      <c r="A291">
        <v>12</v>
      </c>
      <c r="B291">
        <v>7.4999999999999997E-2</v>
      </c>
      <c r="C291">
        <v>0.3</v>
      </c>
      <c r="D291">
        <v>3.6821829374399804</v>
      </c>
      <c r="E291">
        <v>1.5130502145719702</v>
      </c>
      <c r="F291">
        <v>0.46888228771717716</v>
      </c>
      <c r="G291" s="166">
        <v>34.196329530146492</v>
      </c>
    </row>
    <row r="292" spans="1:7" x14ac:dyDescent="0.25">
      <c r="A292">
        <v>11</v>
      </c>
      <c r="B292">
        <v>7.4999999999999997E-2</v>
      </c>
      <c r="C292">
        <v>0.3</v>
      </c>
      <c r="D292">
        <v>3.5873603657628812</v>
      </c>
      <c r="E292">
        <v>1.4740865577249673</v>
      </c>
      <c r="F292">
        <v>0.45680775880577673</v>
      </c>
      <c r="G292" s="166">
        <v>33.426643368835258</v>
      </c>
    </row>
    <row r="293" spans="1:7" x14ac:dyDescent="0.25">
      <c r="A293">
        <v>10</v>
      </c>
      <c r="B293">
        <v>7.4999999999999997E-2</v>
      </c>
      <c r="C293">
        <v>0.3</v>
      </c>
      <c r="D293">
        <v>3.4785280887443171</v>
      </c>
      <c r="E293">
        <v>1.429366156024942</v>
      </c>
      <c r="F293">
        <v>0.44294926022139841</v>
      </c>
      <c r="G293" s="166">
        <v>32.640838727174483</v>
      </c>
    </row>
    <row r="294" spans="1:7" x14ac:dyDescent="0.25">
      <c r="A294">
        <v>9</v>
      </c>
      <c r="B294">
        <v>7.4999999999999997E-2</v>
      </c>
      <c r="C294">
        <v>0.3</v>
      </c>
      <c r="D294">
        <v>3.3535655254650347</v>
      </c>
      <c r="E294">
        <v>1.3780176390187135</v>
      </c>
      <c r="F294">
        <v>0.42703676115633876</v>
      </c>
      <c r="G294" s="166">
        <v>31.837852894380919</v>
      </c>
    </row>
    <row r="295" spans="1:7" x14ac:dyDescent="0.25">
      <c r="A295">
        <v>8</v>
      </c>
      <c r="B295">
        <v>7.4999999999999997E-2</v>
      </c>
      <c r="C295">
        <v>0.3</v>
      </c>
      <c r="D295">
        <v>3.2085459229266831</v>
      </c>
      <c r="E295">
        <v>1.3184274599141557</v>
      </c>
      <c r="F295">
        <v>0.40857023622879324</v>
      </c>
      <c r="G295" s="166">
        <v>31.010676017334784</v>
      </c>
    </row>
    <row r="296" spans="1:7" x14ac:dyDescent="0.25">
      <c r="A296">
        <v>7</v>
      </c>
      <c r="B296">
        <v>7.4999999999999997E-2</v>
      </c>
      <c r="C296">
        <v>0.3</v>
      </c>
      <c r="D296">
        <v>3.03590473510548</v>
      </c>
      <c r="E296">
        <v>1.2474872620166446</v>
      </c>
      <c r="F296">
        <v>0.38658643029760409</v>
      </c>
      <c r="G296" s="166">
        <v>30.202561340358645</v>
      </c>
    </row>
    <row r="297" spans="1:7" x14ac:dyDescent="0.25">
      <c r="A297">
        <v>6</v>
      </c>
      <c r="B297">
        <v>7.4999999999999997E-2</v>
      </c>
      <c r="C297">
        <v>0.3</v>
      </c>
      <c r="D297">
        <v>2.8269551968097013</v>
      </c>
      <c r="E297">
        <v>1.1616275562050304</v>
      </c>
      <c r="F297">
        <v>0.35997918693188269</v>
      </c>
      <c r="G297" s="166">
        <v>29.426556823566909</v>
      </c>
    </row>
    <row r="298" spans="1:7" x14ac:dyDescent="0.25">
      <c r="A298">
        <v>5</v>
      </c>
      <c r="B298">
        <v>7.4999999999999997E-2</v>
      </c>
      <c r="C298">
        <v>0.3</v>
      </c>
      <c r="D298">
        <v>2.5668013882539347</v>
      </c>
      <c r="E298">
        <v>1.0547274421844368</v>
      </c>
      <c r="F298">
        <v>0.32685168756902605</v>
      </c>
      <c r="G298" s="166">
        <v>28.780704517440551</v>
      </c>
    </row>
    <row r="299" spans="1:7" x14ac:dyDescent="0.25">
      <c r="A299">
        <v>4</v>
      </c>
      <c r="B299">
        <v>7.4999999999999997E-2</v>
      </c>
      <c r="C299">
        <v>0.3</v>
      </c>
      <c r="D299">
        <v>2.2324615279160915</v>
      </c>
      <c r="E299">
        <v>0.91734344849947291</v>
      </c>
      <c r="F299">
        <v>0.2842774751375165</v>
      </c>
      <c r="G299" s="166">
        <v>28.474523040896063</v>
      </c>
    </row>
    <row r="300" spans="1:7" x14ac:dyDescent="0.25">
      <c r="A300">
        <v>3</v>
      </c>
      <c r="B300">
        <v>7.4999999999999997E-2</v>
      </c>
      <c r="C300">
        <v>0.3</v>
      </c>
      <c r="D300">
        <v>1.77631468035035</v>
      </c>
      <c r="E300">
        <v>0.72990759935464145</v>
      </c>
      <c r="F300">
        <v>0.22619258879281426</v>
      </c>
      <c r="G300" s="166">
        <v>29.143247833893948</v>
      </c>
    </row>
    <row r="301" spans="1:7" x14ac:dyDescent="0.25">
      <c r="A301">
        <v>2</v>
      </c>
      <c r="B301">
        <v>7.4999999999999997E-2</v>
      </c>
      <c r="C301">
        <v>0.3</v>
      </c>
      <c r="D301">
        <v>1.2240653265792705</v>
      </c>
      <c r="E301">
        <v>0.50298215392810386</v>
      </c>
      <c r="F301">
        <v>0.15587018906800773</v>
      </c>
      <c r="G301" s="166">
        <v>28.643046719655924</v>
      </c>
    </row>
    <row r="302" spans="1:7" x14ac:dyDescent="0.25">
      <c r="A302">
        <v>1</v>
      </c>
      <c r="B302">
        <v>7.4999999999999997E-2</v>
      </c>
      <c r="C302">
        <v>0.3</v>
      </c>
      <c r="D302">
        <v>0.6636772611794135</v>
      </c>
      <c r="E302">
        <v>0.27271242072839491</v>
      </c>
      <c r="F302">
        <v>8.4511421027882103E-2</v>
      </c>
      <c r="G302" s="166">
        <v>27.399418386665463</v>
      </c>
    </row>
    <row r="303" spans="1:7" x14ac:dyDescent="0.25">
      <c r="A303">
        <v>50</v>
      </c>
      <c r="B303">
        <v>6.9999999999999993E-2</v>
      </c>
      <c r="C303">
        <v>0.3</v>
      </c>
      <c r="D303">
        <v>4.7996171830658403</v>
      </c>
      <c r="E303">
        <v>1.9722164629196826</v>
      </c>
      <c r="F303">
        <v>0.61117427439039806</v>
      </c>
      <c r="G303" s="166">
        <v>44.508292791954922</v>
      </c>
    </row>
    <row r="304" spans="1:7" x14ac:dyDescent="0.25">
      <c r="A304">
        <v>49</v>
      </c>
      <c r="B304">
        <v>6.9999999999999993E-2</v>
      </c>
      <c r="C304">
        <v>0.3</v>
      </c>
      <c r="D304">
        <v>4.788433849816597</v>
      </c>
      <c r="E304">
        <v>1.9676211060186586</v>
      </c>
      <c r="F304">
        <v>0.6097502096529045</v>
      </c>
      <c r="G304" s="166">
        <v>44.383247504484899</v>
      </c>
    </row>
    <row r="305" spans="1:7" x14ac:dyDescent="0.25">
      <c r="A305">
        <v>48</v>
      </c>
      <c r="B305">
        <v>6.9999999999999993E-2</v>
      </c>
      <c r="C305">
        <v>0.3</v>
      </c>
      <c r="D305">
        <v>4.7771300185885837</v>
      </c>
      <c r="E305">
        <v>1.962976235148413</v>
      </c>
      <c r="F305">
        <v>0.60831080092818635</v>
      </c>
      <c r="G305" s="166">
        <v>44.215594190887572</v>
      </c>
    </row>
    <row r="306" spans="1:7" x14ac:dyDescent="0.25">
      <c r="A306">
        <v>47</v>
      </c>
      <c r="B306">
        <v>6.9999999999999993E-2</v>
      </c>
      <c r="C306">
        <v>0.3</v>
      </c>
      <c r="D306">
        <v>4.7645412945719539</v>
      </c>
      <c r="E306">
        <v>1.9578033874387355</v>
      </c>
      <c r="F306">
        <v>0.60670777635916218</v>
      </c>
      <c r="G306" s="166">
        <v>44.057407806946756</v>
      </c>
    </row>
    <row r="307" spans="1:7" x14ac:dyDescent="0.25">
      <c r="A307">
        <v>46</v>
      </c>
      <c r="B307">
        <v>6.9999999999999993E-2</v>
      </c>
      <c r="C307">
        <v>0.3</v>
      </c>
      <c r="D307">
        <v>4.7516795383099923</v>
      </c>
      <c r="E307">
        <v>1.9525183477211101</v>
      </c>
      <c r="F307">
        <v>0.60506998437472537</v>
      </c>
      <c r="G307" s="166">
        <v>43.901246920589209</v>
      </c>
    </row>
    <row r="308" spans="1:7" x14ac:dyDescent="0.25">
      <c r="A308">
        <v>45</v>
      </c>
      <c r="B308">
        <v>6.9999999999999993E-2</v>
      </c>
      <c r="C308">
        <v>0.3</v>
      </c>
      <c r="D308">
        <v>4.7386700245649616</v>
      </c>
      <c r="E308">
        <v>1.9471725927986019</v>
      </c>
      <c r="F308">
        <v>0.60341337722877542</v>
      </c>
      <c r="G308" s="166">
        <v>43.745521564976755</v>
      </c>
    </row>
    <row r="309" spans="1:7" x14ac:dyDescent="0.25">
      <c r="A309">
        <v>44</v>
      </c>
      <c r="B309">
        <v>6.9999999999999993E-2</v>
      </c>
      <c r="C309">
        <v>0.3</v>
      </c>
      <c r="D309">
        <v>4.7246248386127139</v>
      </c>
      <c r="E309">
        <v>1.9414012685651769</v>
      </c>
      <c r="F309">
        <v>0.60162488952118709</v>
      </c>
      <c r="G309" s="166">
        <v>43.597925875690194</v>
      </c>
    </row>
    <row r="310" spans="1:7" x14ac:dyDescent="0.25">
      <c r="A310">
        <v>43</v>
      </c>
      <c r="B310">
        <v>6.9999999999999993E-2</v>
      </c>
      <c r="C310">
        <v>0.3</v>
      </c>
      <c r="D310">
        <v>4.710579652660468</v>
      </c>
      <c r="E310">
        <v>1.9356299443317524</v>
      </c>
      <c r="F310">
        <v>0.59983640181359876</v>
      </c>
      <c r="G310" s="166">
        <v>43.449450036165381</v>
      </c>
    </row>
    <row r="311" spans="1:7" x14ac:dyDescent="0.25">
      <c r="A311">
        <v>42</v>
      </c>
      <c r="B311">
        <v>6.9999999999999993E-2</v>
      </c>
      <c r="C311">
        <v>0.3</v>
      </c>
      <c r="D311">
        <v>4.6964472683961827</v>
      </c>
      <c r="E311">
        <v>1.9298227893351685</v>
      </c>
      <c r="F311">
        <v>0.59803681043606027</v>
      </c>
      <c r="G311" s="166">
        <v>43.271213679084674</v>
      </c>
    </row>
    <row r="312" spans="1:7" x14ac:dyDescent="0.25">
      <c r="A312">
        <v>41</v>
      </c>
      <c r="B312">
        <v>6.9999999999999993E-2</v>
      </c>
      <c r="C312">
        <v>0.3</v>
      </c>
      <c r="D312">
        <v>4.6811460560133602</v>
      </c>
      <c r="E312">
        <v>1.9235353497721748</v>
      </c>
      <c r="F312">
        <v>0.59608838267220454</v>
      </c>
      <c r="G312" s="166">
        <v>43.082993215827891</v>
      </c>
    </row>
    <row r="313" spans="1:7" x14ac:dyDescent="0.25">
      <c r="A313">
        <v>40</v>
      </c>
      <c r="B313">
        <v>6.9999999999999993E-2</v>
      </c>
      <c r="C313">
        <v>0.3</v>
      </c>
      <c r="D313">
        <v>4.6651732917063855</v>
      </c>
      <c r="E313">
        <v>1.91697196200123</v>
      </c>
      <c r="F313">
        <v>0.5940544407424676</v>
      </c>
      <c r="G313" s="166">
        <v>42.900511668998398</v>
      </c>
    </row>
    <row r="314" spans="1:7" x14ac:dyDescent="0.25">
      <c r="A314">
        <v>39</v>
      </c>
      <c r="B314">
        <v>6.9999999999999993E-2</v>
      </c>
      <c r="C314">
        <v>0.3</v>
      </c>
      <c r="D314">
        <v>4.6488302124022489</v>
      </c>
      <c r="E314">
        <v>1.9102564076499076</v>
      </c>
      <c r="F314">
        <v>0.59197334359366738</v>
      </c>
      <c r="G314" s="166">
        <v>42.719986095045236</v>
      </c>
    </row>
    <row r="315" spans="1:7" x14ac:dyDescent="0.25">
      <c r="A315">
        <v>38</v>
      </c>
      <c r="B315">
        <v>6.9999999999999993E-2</v>
      </c>
      <c r="C315">
        <v>0.3</v>
      </c>
      <c r="D315">
        <v>4.6314983428887535</v>
      </c>
      <c r="E315">
        <v>1.9031345483257318</v>
      </c>
      <c r="F315">
        <v>0.58976633574914317</v>
      </c>
      <c r="G315" s="166">
        <v>42.546751397378472</v>
      </c>
    </row>
    <row r="316" spans="1:7" x14ac:dyDescent="0.25">
      <c r="A316">
        <v>37</v>
      </c>
      <c r="B316">
        <v>6.9999999999999993E-2</v>
      </c>
      <c r="C316">
        <v>0.3</v>
      </c>
      <c r="D316">
        <v>4.614106856372632</v>
      </c>
      <c r="E316">
        <v>1.8959881917073835</v>
      </c>
      <c r="F316">
        <v>0.5875517363870183</v>
      </c>
      <c r="G316" s="166">
        <v>42.353462121852871</v>
      </c>
    </row>
    <row r="317" spans="1:7" x14ac:dyDescent="0.25">
      <c r="A317">
        <v>36</v>
      </c>
      <c r="B317">
        <v>6.9999999999999993E-2</v>
      </c>
      <c r="C317">
        <v>0.3</v>
      </c>
      <c r="D317">
        <v>4.5955799935565853</v>
      </c>
      <c r="E317">
        <v>1.8883752962495999</v>
      </c>
      <c r="F317">
        <v>0.58519256033058642</v>
      </c>
      <c r="G317" s="166">
        <v>42.134600968379708</v>
      </c>
    </row>
    <row r="318" spans="1:7" x14ac:dyDescent="0.25">
      <c r="A318">
        <v>35</v>
      </c>
      <c r="B318">
        <v>6.9999999999999993E-2</v>
      </c>
      <c r="C318">
        <v>0.3</v>
      </c>
      <c r="D318">
        <v>4.5760514945949096</v>
      </c>
      <c r="E318">
        <v>1.8803508172798575</v>
      </c>
      <c r="F318">
        <v>0.58270583780093432</v>
      </c>
      <c r="G318" s="166">
        <v>41.924277723373137</v>
      </c>
    </row>
    <row r="319" spans="1:7" x14ac:dyDescent="0.25">
      <c r="A319">
        <v>34</v>
      </c>
      <c r="B319">
        <v>6.9999999999999993E-2</v>
      </c>
      <c r="C319">
        <v>0.3</v>
      </c>
      <c r="D319">
        <v>4.5558357538875001</v>
      </c>
      <c r="E319">
        <v>1.8720439429787279</v>
      </c>
      <c r="F319">
        <v>0.58013160319286838</v>
      </c>
      <c r="G319" s="166">
        <v>41.718102514205569</v>
      </c>
    </row>
    <row r="320" spans="1:7" x14ac:dyDescent="0.25">
      <c r="A320">
        <v>33</v>
      </c>
      <c r="B320">
        <v>6.9999999999999993E-2</v>
      </c>
      <c r="C320">
        <v>0.3</v>
      </c>
      <c r="D320">
        <v>4.5347584460213763</v>
      </c>
      <c r="E320">
        <v>1.8633830410813308</v>
      </c>
      <c r="F320">
        <v>0.57744765823437638</v>
      </c>
      <c r="G320" s="166">
        <v>41.517546048605375</v>
      </c>
    </row>
    <row r="321" spans="1:7" x14ac:dyDescent="0.25">
      <c r="A321">
        <v>32</v>
      </c>
      <c r="B321">
        <v>6.9999999999999993E-2</v>
      </c>
      <c r="C321">
        <v>0.3</v>
      </c>
      <c r="D321">
        <v>4.5129781019360991</v>
      </c>
      <c r="E321">
        <v>1.8544332537264983</v>
      </c>
      <c r="F321">
        <v>0.57467418995876918</v>
      </c>
      <c r="G321" s="166">
        <v>41.264422463029362</v>
      </c>
    </row>
    <row r="322" spans="1:7" x14ac:dyDescent="0.25">
      <c r="A322">
        <v>31</v>
      </c>
      <c r="B322">
        <v>6.9999999999999993E-2</v>
      </c>
      <c r="C322">
        <v>0.3</v>
      </c>
      <c r="D322">
        <v>4.4894137152722582</v>
      </c>
      <c r="E322">
        <v>1.8447503832923722</v>
      </c>
      <c r="F322">
        <v>0.57167354503826573</v>
      </c>
      <c r="G322" s="166">
        <v>41.025407876737667</v>
      </c>
    </row>
    <row r="323" spans="1:7" x14ac:dyDescent="0.25">
      <c r="A323">
        <v>30</v>
      </c>
      <c r="B323">
        <v>6.9999999999999993E-2</v>
      </c>
      <c r="C323">
        <v>0.3</v>
      </c>
      <c r="D323">
        <v>4.4651414105388518</v>
      </c>
      <c r="E323">
        <v>1.8347766213937931</v>
      </c>
      <c r="F323">
        <v>0.56858275515494705</v>
      </c>
      <c r="G323" s="166">
        <v>40.790001634799772</v>
      </c>
    </row>
    <row r="324" spans="1:7" x14ac:dyDescent="0.25">
      <c r="A324">
        <v>29</v>
      </c>
      <c r="B324">
        <v>6.9999999999999993E-2</v>
      </c>
      <c r="C324">
        <v>0.3</v>
      </c>
      <c r="D324">
        <v>4.4397662061357437</v>
      </c>
      <c r="E324">
        <v>1.8243496656669209</v>
      </c>
      <c r="F324">
        <v>0.56535152409066636</v>
      </c>
      <c r="G324" s="166">
        <v>40.54478289144015</v>
      </c>
    </row>
    <row r="325" spans="1:7" x14ac:dyDescent="0.25">
      <c r="A325">
        <v>28</v>
      </c>
      <c r="B325">
        <v>6.9999999999999993E-2</v>
      </c>
      <c r="C325">
        <v>0.3</v>
      </c>
      <c r="D325">
        <v>4.4126780295999435</v>
      </c>
      <c r="E325">
        <v>1.8132188305030519</v>
      </c>
      <c r="F325">
        <v>0.56190216635912926</v>
      </c>
      <c r="G325" s="166">
        <v>40.267045917680186</v>
      </c>
    </row>
    <row r="326" spans="1:7" x14ac:dyDescent="0.25">
      <c r="A326">
        <v>27</v>
      </c>
      <c r="B326">
        <v>6.9999999999999993E-2</v>
      </c>
      <c r="C326">
        <v>0.3</v>
      </c>
      <c r="D326">
        <v>4.3845595011959864</v>
      </c>
      <c r="E326">
        <v>1.8016646122151809</v>
      </c>
      <c r="F326">
        <v>0.55832160554797783</v>
      </c>
      <c r="G326" s="166">
        <v>39.996339084742218</v>
      </c>
    </row>
    <row r="327" spans="1:7" x14ac:dyDescent="0.25">
      <c r="A327">
        <v>26</v>
      </c>
      <c r="B327">
        <v>6.9999999999999993E-2</v>
      </c>
      <c r="C327">
        <v>0.3</v>
      </c>
      <c r="D327">
        <v>4.3544751414224629</v>
      </c>
      <c r="E327">
        <v>1.7893026117975055</v>
      </c>
      <c r="F327">
        <v>0.55449071944732053</v>
      </c>
      <c r="G327" s="166">
        <v>39.732719364141168</v>
      </c>
    </row>
    <row r="328" spans="1:7" x14ac:dyDescent="0.25">
      <c r="A328">
        <v>25</v>
      </c>
      <c r="B328">
        <v>6.9999999999999993E-2</v>
      </c>
      <c r="C328">
        <v>0.3</v>
      </c>
      <c r="D328">
        <v>4.3226818817753898</v>
      </c>
      <c r="E328">
        <v>1.7762384052797298</v>
      </c>
      <c r="F328">
        <v>0.5504422252332688</v>
      </c>
      <c r="G328" s="166">
        <v>39.420686115168422</v>
      </c>
    </row>
    <row r="329" spans="1:7" x14ac:dyDescent="0.25">
      <c r="A329">
        <v>24</v>
      </c>
      <c r="B329">
        <v>6.9999999999999993E-2</v>
      </c>
      <c r="C329">
        <v>0.3</v>
      </c>
      <c r="D329">
        <v>4.2893168656498233</v>
      </c>
      <c r="E329">
        <v>1.7625283464190789</v>
      </c>
      <c r="F329">
        <v>0.54619358648922178</v>
      </c>
      <c r="G329" s="166">
        <v>39.119720677142567</v>
      </c>
    </row>
    <row r="330" spans="1:7" x14ac:dyDescent="0.25">
      <c r="A330">
        <v>23</v>
      </c>
      <c r="B330">
        <v>6.9999999999999993E-2</v>
      </c>
      <c r="C330">
        <v>0.3</v>
      </c>
      <c r="D330">
        <v>4.2537739055973258</v>
      </c>
      <c r="E330">
        <v>1.7479233460028469</v>
      </c>
      <c r="F330">
        <v>0.54166761243937145</v>
      </c>
      <c r="G330" s="166">
        <v>38.806758412227566</v>
      </c>
    </row>
    <row r="331" spans="1:7" x14ac:dyDescent="0.25">
      <c r="A331">
        <v>22</v>
      </c>
      <c r="B331">
        <v>6.9999999999999993E-2</v>
      </c>
      <c r="C331">
        <v>0.3</v>
      </c>
      <c r="D331">
        <v>4.2153679325391531</v>
      </c>
      <c r="E331">
        <v>1.732141901472849</v>
      </c>
      <c r="F331">
        <v>0.53677706766865452</v>
      </c>
      <c r="G331" s="166">
        <v>38.470634113850473</v>
      </c>
    </row>
    <row r="332" spans="1:7" x14ac:dyDescent="0.25">
      <c r="A332">
        <v>21</v>
      </c>
      <c r="B332">
        <v>6.9999999999999993E-2</v>
      </c>
      <c r="C332">
        <v>0.3</v>
      </c>
      <c r="D332">
        <v>4.1750871998175532</v>
      </c>
      <c r="E332">
        <v>1.7155900971972295</v>
      </c>
      <c r="F332">
        <v>0.53164779450914146</v>
      </c>
      <c r="G332" s="166">
        <v>38.145413020893194</v>
      </c>
    </row>
    <row r="333" spans="1:7" x14ac:dyDescent="0.25">
      <c r="A333">
        <v>20</v>
      </c>
      <c r="B333">
        <v>6.9999999999999993E-2</v>
      </c>
      <c r="C333">
        <v>0.3</v>
      </c>
      <c r="D333">
        <v>4.131529559121895</v>
      </c>
      <c r="E333">
        <v>1.6976917747291351</v>
      </c>
      <c r="F333">
        <v>0.52610124601767982</v>
      </c>
      <c r="G333" s="166">
        <v>37.768408672422304</v>
      </c>
    </row>
    <row r="334" spans="1:7" x14ac:dyDescent="0.25">
      <c r="A334">
        <v>19</v>
      </c>
      <c r="B334">
        <v>6.9999999999999993E-2</v>
      </c>
      <c r="C334">
        <v>0.3</v>
      </c>
      <c r="D334">
        <v>4.085252881071014</v>
      </c>
      <c r="E334">
        <v>1.6786761693547745</v>
      </c>
      <c r="F334">
        <v>0.5202084603953735</v>
      </c>
      <c r="G334" s="166">
        <v>37.408592979480737</v>
      </c>
    </row>
    <row r="335" spans="1:7" x14ac:dyDescent="0.25">
      <c r="A335">
        <v>18</v>
      </c>
      <c r="B335">
        <v>6.9999999999999993E-2</v>
      </c>
      <c r="C335">
        <v>0.3</v>
      </c>
      <c r="D335">
        <v>4.0349552715329668</v>
      </c>
      <c r="E335">
        <v>1.6580083181923033</v>
      </c>
      <c r="F335">
        <v>0.51380365687865803</v>
      </c>
      <c r="G335" s="166">
        <v>37.003257831997125</v>
      </c>
    </row>
    <row r="336" spans="1:7" x14ac:dyDescent="0.25">
      <c r="A336">
        <v>17</v>
      </c>
      <c r="B336">
        <v>6.9999999999999993E-2</v>
      </c>
      <c r="C336">
        <v>0.3</v>
      </c>
      <c r="D336">
        <v>3.9812103212881627</v>
      </c>
      <c r="E336">
        <v>1.6359239161184083</v>
      </c>
      <c r="F336">
        <v>0.50695987544460752</v>
      </c>
      <c r="G336" s="166">
        <v>36.60576155571033</v>
      </c>
    </row>
    <row r="337" spans="1:7" x14ac:dyDescent="0.25">
      <c r="A337">
        <v>16</v>
      </c>
      <c r="B337">
        <v>6.9999999999999993E-2</v>
      </c>
      <c r="C337">
        <v>0.3</v>
      </c>
      <c r="D337">
        <v>3.9223197642820256</v>
      </c>
      <c r="E337">
        <v>1.6117251265883183</v>
      </c>
      <c r="F337">
        <v>0.49946086207044471</v>
      </c>
      <c r="G337" s="166">
        <v>36.167193217330869</v>
      </c>
    </row>
    <row r="338" spans="1:7" x14ac:dyDescent="0.25">
      <c r="A338">
        <v>15</v>
      </c>
      <c r="B338">
        <v>6.9999999999999993E-2</v>
      </c>
      <c r="C338">
        <v>0.3</v>
      </c>
      <c r="D338">
        <v>3.8587688842410683</v>
      </c>
      <c r="E338">
        <v>1.5856113581211113</v>
      </c>
      <c r="F338">
        <v>0.49136841187817892</v>
      </c>
      <c r="G338" s="166">
        <v>35.715273618901811</v>
      </c>
    </row>
    <row r="339" spans="1:7" x14ac:dyDescent="0.25">
      <c r="A339">
        <v>14</v>
      </c>
      <c r="B339">
        <v>6.9999999999999993E-2</v>
      </c>
      <c r="C339">
        <v>0.3</v>
      </c>
      <c r="D339">
        <v>3.7885021558343057</v>
      </c>
      <c r="E339">
        <v>1.5567379723335386</v>
      </c>
      <c r="F339">
        <v>0.48242077811703005</v>
      </c>
      <c r="G339" s="166">
        <v>35.155264865273523</v>
      </c>
    </row>
    <row r="340" spans="1:7" x14ac:dyDescent="0.25">
      <c r="A340">
        <v>13</v>
      </c>
      <c r="B340">
        <v>6.9999999999999993E-2</v>
      </c>
      <c r="C340">
        <v>0.3</v>
      </c>
      <c r="D340">
        <v>3.7087869134604179</v>
      </c>
      <c r="E340">
        <v>1.5239820863203566</v>
      </c>
      <c r="F340">
        <v>0.47226998826078681</v>
      </c>
      <c r="G340" s="166">
        <v>34.452029561736538</v>
      </c>
    </row>
    <row r="341" spans="1:7" x14ac:dyDescent="0.25">
      <c r="A341">
        <v>12</v>
      </c>
      <c r="B341">
        <v>6.9999999999999993E-2</v>
      </c>
      <c r="C341">
        <v>0.3</v>
      </c>
      <c r="D341">
        <v>3.6185411297225034</v>
      </c>
      <c r="E341">
        <v>1.4868990829039646</v>
      </c>
      <c r="F341">
        <v>0.46077825896466384</v>
      </c>
      <c r="G341" s="166">
        <v>33.733196585481075</v>
      </c>
    </row>
    <row r="342" spans="1:7" x14ac:dyDescent="0.25">
      <c r="A342">
        <v>11</v>
      </c>
      <c r="B342">
        <v>6.9999999999999993E-2</v>
      </c>
      <c r="C342">
        <v>0.3</v>
      </c>
      <c r="D342">
        <v>3.5159207556698595</v>
      </c>
      <c r="E342">
        <v>1.4447312217146018</v>
      </c>
      <c r="F342">
        <v>0.44771077248457897</v>
      </c>
      <c r="G342" s="166">
        <v>32.999338254864568</v>
      </c>
    </row>
    <row r="343" spans="1:7" x14ac:dyDescent="0.25">
      <c r="A343">
        <v>10</v>
      </c>
      <c r="B343">
        <v>6.9999999999999993E-2</v>
      </c>
      <c r="C343">
        <v>0.3</v>
      </c>
      <c r="D343">
        <v>3.3988396614999297</v>
      </c>
      <c r="E343">
        <v>1.3966212886488385</v>
      </c>
      <c r="F343">
        <v>0.43280188495358796</v>
      </c>
      <c r="G343" s="166">
        <v>32.253270361141659</v>
      </c>
    </row>
    <row r="344" spans="1:7" x14ac:dyDescent="0.25">
      <c r="A344">
        <v>9</v>
      </c>
      <c r="B344">
        <v>6.9999999999999993E-2</v>
      </c>
      <c r="C344">
        <v>0.3</v>
      </c>
      <c r="D344">
        <v>3.2643883064201211</v>
      </c>
      <c r="E344">
        <v>1.3413737208040886</v>
      </c>
      <c r="F344">
        <v>0.41568110088946847</v>
      </c>
      <c r="G344" s="166">
        <v>31.486880470609076</v>
      </c>
    </row>
    <row r="345" spans="1:7" x14ac:dyDescent="0.25">
      <c r="A345">
        <v>8</v>
      </c>
      <c r="B345">
        <v>6.9999999999999993E-2</v>
      </c>
      <c r="C345">
        <v>0.3</v>
      </c>
      <c r="D345">
        <v>3.1056768391765792</v>
      </c>
      <c r="E345">
        <v>1.2761574011242118</v>
      </c>
      <c r="F345">
        <v>0.39547107952104621</v>
      </c>
      <c r="G345" s="166">
        <v>30.746472240585057</v>
      </c>
    </row>
    <row r="346" spans="1:7" x14ac:dyDescent="0.25">
      <c r="A346">
        <v>7</v>
      </c>
      <c r="B346">
        <v>6.9999999999999993E-2</v>
      </c>
      <c r="C346">
        <v>0.3</v>
      </c>
      <c r="D346">
        <v>2.9175634983045562</v>
      </c>
      <c r="E346">
        <v>1.198859522228453</v>
      </c>
      <c r="F346">
        <v>0.37151707856108362</v>
      </c>
      <c r="G346" s="166">
        <v>30.030724654014683</v>
      </c>
    </row>
    <row r="347" spans="1:7" x14ac:dyDescent="0.25">
      <c r="A347">
        <v>6</v>
      </c>
      <c r="B347">
        <v>6.9999999999999993E-2</v>
      </c>
      <c r="C347">
        <v>0.3</v>
      </c>
      <c r="D347">
        <v>2.6897067046495389</v>
      </c>
      <c r="E347">
        <v>1.1052306134021315</v>
      </c>
      <c r="F347">
        <v>0.34250222066400587</v>
      </c>
      <c r="G347" s="166">
        <v>29.400753284474266</v>
      </c>
    </row>
    <row r="348" spans="1:7" x14ac:dyDescent="0.25">
      <c r="A348">
        <v>5</v>
      </c>
      <c r="B348">
        <v>6.9999999999999993E-2</v>
      </c>
      <c r="C348">
        <v>0.3</v>
      </c>
      <c r="D348">
        <v>2.404214892131296</v>
      </c>
      <c r="E348">
        <v>0.98791882973241829</v>
      </c>
      <c r="F348">
        <v>0.30614822727139512</v>
      </c>
      <c r="G348" s="166">
        <v>29.020454163735131</v>
      </c>
    </row>
    <row r="349" spans="1:7" x14ac:dyDescent="0.25">
      <c r="A349">
        <v>4</v>
      </c>
      <c r="B349">
        <v>6.9999999999999993E-2</v>
      </c>
      <c r="C349">
        <v>0.3</v>
      </c>
      <c r="D349">
        <v>2.0348367057954677</v>
      </c>
      <c r="E349">
        <v>0.83613719541682552</v>
      </c>
      <c r="F349">
        <v>0.259112299946617</v>
      </c>
      <c r="G349" s="166">
        <v>29.232036540365741</v>
      </c>
    </row>
    <row r="350" spans="1:7" x14ac:dyDescent="0.25">
      <c r="A350">
        <v>3</v>
      </c>
      <c r="B350">
        <v>6.9999999999999993E-2</v>
      </c>
      <c r="C350">
        <v>0.3</v>
      </c>
      <c r="D350">
        <v>1.563747584225089</v>
      </c>
      <c r="E350">
        <v>0.64256139850920624</v>
      </c>
      <c r="F350">
        <v>0.19912469237974145</v>
      </c>
      <c r="G350" s="166">
        <v>29.283696219364096</v>
      </c>
    </row>
    <row r="351" spans="1:7" x14ac:dyDescent="0.25">
      <c r="A351">
        <v>2</v>
      </c>
      <c r="B351">
        <v>6.9999999999999993E-2</v>
      </c>
      <c r="C351">
        <v>0.3</v>
      </c>
      <c r="D351">
        <v>1.0785273122847878</v>
      </c>
      <c r="E351">
        <v>0.44317895362601817</v>
      </c>
      <c r="F351">
        <v>0.1373376505571276</v>
      </c>
      <c r="G351" s="166">
        <v>28.728603857528832</v>
      </c>
    </row>
    <row r="352" spans="1:7" x14ac:dyDescent="0.25">
      <c r="A352">
        <v>1</v>
      </c>
      <c r="B352">
        <v>6.9999999999999993E-2</v>
      </c>
      <c r="C352">
        <v>0.3</v>
      </c>
      <c r="D352">
        <v>0.58671818647421681</v>
      </c>
      <c r="E352">
        <v>0.24108907488319517</v>
      </c>
      <c r="F352">
        <v>7.4711596407148445E-2</v>
      </c>
      <c r="G352" s="166">
        <v>27.329427458187922</v>
      </c>
    </row>
    <row r="353" spans="1:7" x14ac:dyDescent="0.25">
      <c r="A353">
        <v>50</v>
      </c>
      <c r="B353">
        <v>6.4999999999999988E-2</v>
      </c>
      <c r="C353">
        <v>0.3</v>
      </c>
      <c r="D353">
        <v>4.7887485353720374</v>
      </c>
      <c r="E353">
        <v>1.9677504138383055</v>
      </c>
      <c r="F353">
        <v>0.60979028112291378</v>
      </c>
      <c r="G353" s="166">
        <v>44.381527500860422</v>
      </c>
    </row>
    <row r="354" spans="1:7" x14ac:dyDescent="0.25">
      <c r="A354">
        <v>49</v>
      </c>
      <c r="B354">
        <v>6.4999999999999988E-2</v>
      </c>
      <c r="C354">
        <v>0.3</v>
      </c>
      <c r="D354">
        <v>4.777088123154356</v>
      </c>
      <c r="E354">
        <v>1.9629590198452016</v>
      </c>
      <c r="F354">
        <v>0.60830546604195723</v>
      </c>
      <c r="G354" s="166">
        <v>44.220181409069596</v>
      </c>
    </row>
    <row r="355" spans="1:7" x14ac:dyDescent="0.25">
      <c r="A355">
        <v>48</v>
      </c>
      <c r="B355">
        <v>6.4999999999999988E-2</v>
      </c>
      <c r="C355">
        <v>0.3</v>
      </c>
      <c r="D355">
        <v>4.7644922134237824</v>
      </c>
      <c r="E355">
        <v>1.9577832194451747</v>
      </c>
      <c r="F355">
        <v>0.60670152645756048</v>
      </c>
      <c r="G355" s="166">
        <v>44.067862397419304</v>
      </c>
    </row>
    <row r="356" spans="1:7" x14ac:dyDescent="0.25">
      <c r="A356">
        <v>47</v>
      </c>
      <c r="B356">
        <v>6.4999999999999988E-2</v>
      </c>
      <c r="C356">
        <v>0.3</v>
      </c>
      <c r="D356">
        <v>4.7518963036932096</v>
      </c>
      <c r="E356">
        <v>1.9526074190451481</v>
      </c>
      <c r="F356">
        <v>0.60509758687316373</v>
      </c>
      <c r="G356" s="166">
        <v>43.914735878029603</v>
      </c>
    </row>
    <row r="357" spans="1:7" x14ac:dyDescent="0.25">
      <c r="A357">
        <v>46</v>
      </c>
      <c r="B357">
        <v>6.4999999999999988E-2</v>
      </c>
      <c r="C357">
        <v>0.3</v>
      </c>
      <c r="D357">
        <v>4.7386227885686534</v>
      </c>
      <c r="E357">
        <v>1.9471531829986097</v>
      </c>
      <c r="F357">
        <v>0.60340736228536063</v>
      </c>
      <c r="G357" s="166">
        <v>43.766682557917093</v>
      </c>
    </row>
    <row r="358" spans="1:7" x14ac:dyDescent="0.25">
      <c r="A358">
        <v>45</v>
      </c>
      <c r="B358">
        <v>6.4999999999999988E-2</v>
      </c>
      <c r="C358">
        <v>0.3</v>
      </c>
      <c r="D358">
        <v>4.7248803137265334</v>
      </c>
      <c r="E358">
        <v>1.9415062461511226</v>
      </c>
      <c r="F358">
        <v>0.60165742124431376</v>
      </c>
      <c r="G358" s="166">
        <v>43.621869529241678</v>
      </c>
    </row>
    <row r="359" spans="1:7" x14ac:dyDescent="0.25">
      <c r="A359">
        <v>44</v>
      </c>
      <c r="B359">
        <v>6.4999999999999988E-2</v>
      </c>
      <c r="C359">
        <v>0.3</v>
      </c>
      <c r="D359">
        <v>4.7111186569000854</v>
      </c>
      <c r="E359">
        <v>1.9358514272114096</v>
      </c>
      <c r="F359">
        <v>0.59990503760526237</v>
      </c>
      <c r="G359" s="166">
        <v>43.469880753611029</v>
      </c>
    </row>
    <row r="360" spans="1:7" x14ac:dyDescent="0.25">
      <c r="A360">
        <v>43</v>
      </c>
      <c r="B360">
        <v>6.4999999999999988E-2</v>
      </c>
      <c r="C360">
        <v>0.3</v>
      </c>
      <c r="D360">
        <v>4.6970010469960446</v>
      </c>
      <c r="E360">
        <v>1.9300503431649436</v>
      </c>
      <c r="F360">
        <v>0.59810732756712193</v>
      </c>
      <c r="G360" s="166">
        <v>43.278258010573005</v>
      </c>
    </row>
    <row r="361" spans="1:7" x14ac:dyDescent="0.25">
      <c r="A361">
        <v>42</v>
      </c>
      <c r="B361">
        <v>6.4999999999999988E-2</v>
      </c>
      <c r="C361">
        <v>0.3</v>
      </c>
      <c r="D361">
        <v>4.6813978876797542</v>
      </c>
      <c r="E361">
        <v>1.9236388302247613</v>
      </c>
      <c r="F361">
        <v>0.59612045044555106</v>
      </c>
      <c r="G361" s="166">
        <v>43.100913333758683</v>
      </c>
    </row>
    <row r="362" spans="1:7" x14ac:dyDescent="0.25">
      <c r="A362">
        <v>41</v>
      </c>
      <c r="B362">
        <v>6.4999999999999988E-2</v>
      </c>
      <c r="C362">
        <v>0.3</v>
      </c>
      <c r="D362">
        <v>4.6657947283634629</v>
      </c>
      <c r="E362">
        <v>1.9172273172845793</v>
      </c>
      <c r="F362">
        <v>0.5941335733239802</v>
      </c>
      <c r="G362" s="166">
        <v>42.92238251935909</v>
      </c>
    </row>
    <row r="363" spans="1:7" x14ac:dyDescent="0.25">
      <c r="A363">
        <v>40</v>
      </c>
      <c r="B363">
        <v>6.4999999999999988E-2</v>
      </c>
      <c r="C363">
        <v>0.3</v>
      </c>
      <c r="D363">
        <v>4.6492727062202306</v>
      </c>
      <c r="E363">
        <v>1.9104382333162631</v>
      </c>
      <c r="F363">
        <v>0.59202968992876281</v>
      </c>
      <c r="G363" s="166">
        <v>42.750622556300947</v>
      </c>
    </row>
    <row r="364" spans="1:7" x14ac:dyDescent="0.25">
      <c r="A364">
        <v>39</v>
      </c>
      <c r="B364">
        <v>6.4999999999999988E-2</v>
      </c>
      <c r="C364">
        <v>0.3</v>
      </c>
      <c r="D364">
        <v>4.632357607521377</v>
      </c>
      <c r="E364">
        <v>1.9034876297882373</v>
      </c>
      <c r="F364">
        <v>0.58987575290020378</v>
      </c>
      <c r="G364" s="166">
        <v>42.581044921003134</v>
      </c>
    </row>
    <row r="365" spans="1:7" x14ac:dyDescent="0.25">
      <c r="A365">
        <v>38</v>
      </c>
      <c r="B365">
        <v>6.4999999999999988E-2</v>
      </c>
      <c r="C365">
        <v>0.3</v>
      </c>
      <c r="D365">
        <v>4.6153030414011704</v>
      </c>
      <c r="E365">
        <v>1.8964797175345482</v>
      </c>
      <c r="F365">
        <v>0.58770405635108391</v>
      </c>
      <c r="G365" s="166">
        <v>42.366365883607543</v>
      </c>
    </row>
    <row r="366" spans="1:7" x14ac:dyDescent="0.25">
      <c r="A366">
        <v>37</v>
      </c>
      <c r="B366">
        <v>6.4999999999999988E-2</v>
      </c>
      <c r="C366">
        <v>0.3</v>
      </c>
      <c r="D366">
        <v>4.5963214496010645</v>
      </c>
      <c r="E366">
        <v>1.8886799688436171</v>
      </c>
      <c r="F366">
        <v>0.58528697595639434</v>
      </c>
      <c r="G366" s="166">
        <v>42.162296813203028</v>
      </c>
    </row>
    <row r="367" spans="1:7" x14ac:dyDescent="0.25">
      <c r="A367">
        <v>36</v>
      </c>
      <c r="B367">
        <v>6.4999999999999988E-2</v>
      </c>
      <c r="C367">
        <v>0.3</v>
      </c>
      <c r="D367">
        <v>4.5772938457305443</v>
      </c>
      <c r="E367">
        <v>1.8808613132775529</v>
      </c>
      <c r="F367">
        <v>0.58286403647072371</v>
      </c>
      <c r="G367" s="166">
        <v>41.957009146188206</v>
      </c>
    </row>
    <row r="368" spans="1:7" x14ac:dyDescent="0.25">
      <c r="A368">
        <v>35</v>
      </c>
      <c r="B368">
        <v>6.4999999999999988E-2</v>
      </c>
      <c r="C368">
        <v>0.3</v>
      </c>
      <c r="D368">
        <v>4.557026847436962</v>
      </c>
      <c r="E368">
        <v>1.8725333766601089</v>
      </c>
      <c r="F368">
        <v>0.58028327481751218</v>
      </c>
      <c r="G368" s="166">
        <v>41.76074707346384</v>
      </c>
    </row>
    <row r="369" spans="1:7" x14ac:dyDescent="0.25">
      <c r="A369">
        <v>34</v>
      </c>
      <c r="B369">
        <v>6.4999999999999988E-2</v>
      </c>
      <c r="C369">
        <v>0.3</v>
      </c>
      <c r="D369">
        <v>4.5364302259249154</v>
      </c>
      <c r="E369">
        <v>1.8640699941699583</v>
      </c>
      <c r="F369">
        <v>0.57766053956022267</v>
      </c>
      <c r="G369" s="166">
        <v>41.541153782987443</v>
      </c>
    </row>
    <row r="370" spans="1:7" x14ac:dyDescent="0.25">
      <c r="A370">
        <v>33</v>
      </c>
      <c r="B370">
        <v>6.4999999999999988E-2</v>
      </c>
      <c r="C370">
        <v>0.3</v>
      </c>
      <c r="D370">
        <v>4.514293735067227</v>
      </c>
      <c r="E370">
        <v>1.8549738621170024</v>
      </c>
      <c r="F370">
        <v>0.5748417202207905</v>
      </c>
      <c r="G370" s="166">
        <v>41.302961337096036</v>
      </c>
    </row>
    <row r="371" spans="1:7" x14ac:dyDescent="0.25">
      <c r="A371">
        <v>32</v>
      </c>
      <c r="B371">
        <v>6.4999999999999988E-2</v>
      </c>
      <c r="C371">
        <v>0.3</v>
      </c>
      <c r="D371">
        <v>4.4913938419198747</v>
      </c>
      <c r="E371">
        <v>1.8455640395120543</v>
      </c>
      <c r="F371">
        <v>0.57192569066173915</v>
      </c>
      <c r="G371" s="166">
        <v>41.070224651694673</v>
      </c>
    </row>
    <row r="372" spans="1:7" x14ac:dyDescent="0.25">
      <c r="A372">
        <v>31</v>
      </c>
      <c r="B372">
        <v>6.4999999999999988E-2</v>
      </c>
      <c r="C372">
        <v>0.3</v>
      </c>
      <c r="D372">
        <v>4.4672309089812137</v>
      </c>
      <c r="E372">
        <v>1.8356352197090524</v>
      </c>
      <c r="F372">
        <v>0.56884882797818304</v>
      </c>
      <c r="G372" s="166">
        <v>40.846050059844885</v>
      </c>
    </row>
    <row r="373" spans="1:7" x14ac:dyDescent="0.25">
      <c r="A373">
        <v>30</v>
      </c>
      <c r="B373">
        <v>6.4999999999999988E-2</v>
      </c>
      <c r="C373">
        <v>0.3</v>
      </c>
      <c r="D373">
        <v>4.4425104946560223</v>
      </c>
      <c r="E373">
        <v>1.8254773245597575</v>
      </c>
      <c r="F373">
        <v>0.56570097665763708</v>
      </c>
      <c r="G373" s="166">
        <v>40.583086829502399</v>
      </c>
    </row>
    <row r="374" spans="1:7" x14ac:dyDescent="0.25">
      <c r="A374">
        <v>29</v>
      </c>
      <c r="B374">
        <v>6.4999999999999988E-2</v>
      </c>
      <c r="C374">
        <v>0.3</v>
      </c>
      <c r="D374">
        <v>4.4152919553859338</v>
      </c>
      <c r="E374">
        <v>1.8142929218881247</v>
      </c>
      <c r="F374">
        <v>0.56223501877935955</v>
      </c>
      <c r="G374" s="166">
        <v>40.323083339374911</v>
      </c>
    </row>
    <row r="375" spans="1:7" x14ac:dyDescent="0.25">
      <c r="A375">
        <v>28</v>
      </c>
      <c r="B375">
        <v>6.4999999999999988E-2</v>
      </c>
      <c r="C375">
        <v>0.3</v>
      </c>
      <c r="D375">
        <v>4.3874901261749049</v>
      </c>
      <c r="E375">
        <v>1.8028688388461005</v>
      </c>
      <c r="F375">
        <v>0.55869478585104881</v>
      </c>
      <c r="G375" s="166">
        <v>40.064968068633256</v>
      </c>
    </row>
    <row r="376" spans="1:7" x14ac:dyDescent="0.25">
      <c r="A376">
        <v>27</v>
      </c>
      <c r="B376">
        <v>6.4999999999999988E-2</v>
      </c>
      <c r="C376">
        <v>0.3</v>
      </c>
      <c r="D376">
        <v>4.3582450983521444</v>
      </c>
      <c r="E376">
        <v>1.7908517293286805</v>
      </c>
      <c r="F376">
        <v>0.55497077871102818</v>
      </c>
      <c r="G376" s="166">
        <v>39.786013090991446</v>
      </c>
    </row>
    <row r="377" spans="1:7" x14ac:dyDescent="0.25">
      <c r="A377">
        <v>26</v>
      </c>
      <c r="B377">
        <v>6.4999999999999988E-2</v>
      </c>
      <c r="C377">
        <v>0.3</v>
      </c>
      <c r="D377">
        <v>4.3265503970242634</v>
      </c>
      <c r="E377">
        <v>1.7778280215282511</v>
      </c>
      <c r="F377">
        <v>0.55093483472898863</v>
      </c>
      <c r="G377" s="166">
        <v>39.493423596722835</v>
      </c>
    </row>
    <row r="378" spans="1:7" x14ac:dyDescent="0.25">
      <c r="A378">
        <v>25</v>
      </c>
      <c r="B378">
        <v>6.4999999999999988E-2</v>
      </c>
      <c r="C378">
        <v>0.3</v>
      </c>
      <c r="D378">
        <v>4.2937410401311018</v>
      </c>
      <c r="E378">
        <v>1.764346289270353</v>
      </c>
      <c r="F378">
        <v>0.54675695259223356</v>
      </c>
      <c r="G378" s="166">
        <v>39.206815773249879</v>
      </c>
    </row>
    <row r="379" spans="1:7" x14ac:dyDescent="0.25">
      <c r="A379">
        <v>24</v>
      </c>
      <c r="B379">
        <v>6.4999999999999988E-2</v>
      </c>
      <c r="C379">
        <v>0.3</v>
      </c>
      <c r="D379">
        <v>4.2589375070409412</v>
      </c>
      <c r="E379">
        <v>1.7500451276755569</v>
      </c>
      <c r="F379">
        <v>0.54232513578866637</v>
      </c>
      <c r="G379" s="166">
        <v>38.88645272814297</v>
      </c>
    </row>
    <row r="380" spans="1:7" x14ac:dyDescent="0.25">
      <c r="A380">
        <v>23</v>
      </c>
      <c r="B380">
        <v>6.4999999999999988E-2</v>
      </c>
      <c r="C380">
        <v>0.3</v>
      </c>
      <c r="D380">
        <v>4.2213945377284956</v>
      </c>
      <c r="E380">
        <v>1.7346183010515224</v>
      </c>
      <c r="F380">
        <v>0.53754448430067858</v>
      </c>
      <c r="G380" s="166">
        <v>38.567003869278345</v>
      </c>
    </row>
    <row r="381" spans="1:7" x14ac:dyDescent="0.25">
      <c r="A381">
        <v>22</v>
      </c>
      <c r="B381">
        <v>6.4999999999999988E-2</v>
      </c>
      <c r="C381">
        <v>0.3</v>
      </c>
      <c r="D381">
        <v>4.1819826476441113</v>
      </c>
      <c r="E381">
        <v>1.7184235139477826</v>
      </c>
      <c r="F381">
        <v>0.53252584793741542</v>
      </c>
      <c r="G381" s="166">
        <v>38.238383217088483</v>
      </c>
    </row>
    <row r="382" spans="1:7" x14ac:dyDescent="0.25">
      <c r="A382">
        <v>21</v>
      </c>
      <c r="B382">
        <v>6.4999999999999988E-2</v>
      </c>
      <c r="C382">
        <v>0.3</v>
      </c>
      <c r="D382">
        <v>4.1392100953049988</v>
      </c>
      <c r="E382">
        <v>1.7008477930794761</v>
      </c>
      <c r="F382">
        <v>0.52707927112876574</v>
      </c>
      <c r="G382" s="166">
        <v>37.883448100014441</v>
      </c>
    </row>
    <row r="383" spans="1:7" x14ac:dyDescent="0.25">
      <c r="A383">
        <v>20</v>
      </c>
      <c r="B383">
        <v>6.4999999999999988E-2</v>
      </c>
      <c r="C383">
        <v>0.3</v>
      </c>
      <c r="D383">
        <v>4.0942141834053523</v>
      </c>
      <c r="E383">
        <v>1.6823584688630226</v>
      </c>
      <c r="F383">
        <v>0.52134957587247988</v>
      </c>
      <c r="G383" s="166">
        <v>37.529747626290806</v>
      </c>
    </row>
    <row r="384" spans="1:7" x14ac:dyDescent="0.25">
      <c r="A384">
        <v>19</v>
      </c>
      <c r="B384">
        <v>6.4999999999999988E-2</v>
      </c>
      <c r="C384">
        <v>0.3</v>
      </c>
      <c r="D384">
        <v>4.0451355784478391</v>
      </c>
      <c r="E384">
        <v>1.6621915203372422</v>
      </c>
      <c r="F384">
        <v>0.51509999811889717</v>
      </c>
      <c r="G384" s="166">
        <v>37.14246710795075</v>
      </c>
    </row>
    <row r="385" spans="1:7" x14ac:dyDescent="0.25">
      <c r="A385">
        <v>18</v>
      </c>
      <c r="B385">
        <v>6.4999999999999988E-2</v>
      </c>
      <c r="C385">
        <v>0.3</v>
      </c>
      <c r="D385">
        <v>3.9931603271544072</v>
      </c>
      <c r="E385">
        <v>1.6408343073855594</v>
      </c>
      <c r="F385">
        <v>0.50848156683908619</v>
      </c>
      <c r="G385" s="166">
        <v>36.749401371815729</v>
      </c>
    </row>
    <row r="386" spans="1:7" x14ac:dyDescent="0.25">
      <c r="A386">
        <v>17</v>
      </c>
      <c r="B386">
        <v>6.4999999999999988E-2</v>
      </c>
      <c r="C386">
        <v>0.3</v>
      </c>
      <c r="D386">
        <v>3.9361390224676791</v>
      </c>
      <c r="E386">
        <v>1.6174036145717443</v>
      </c>
      <c r="F386">
        <v>0.50122058055883367</v>
      </c>
      <c r="G386" s="166">
        <v>36.337206311500715</v>
      </c>
    </row>
    <row r="387" spans="1:7" x14ac:dyDescent="0.25">
      <c r="A387">
        <v>16</v>
      </c>
      <c r="B387">
        <v>6.4999999999999988E-2</v>
      </c>
      <c r="C387">
        <v>0.3</v>
      </c>
      <c r="D387">
        <v>3.8744737564252199</v>
      </c>
      <c r="E387">
        <v>1.5920646660180233</v>
      </c>
      <c r="F387">
        <v>0.49336824092608894</v>
      </c>
      <c r="G387" s="166">
        <v>35.9021945459438</v>
      </c>
    </row>
    <row r="388" spans="1:7" x14ac:dyDescent="0.25">
      <c r="A388">
        <v>15</v>
      </c>
      <c r="B388">
        <v>6.4999999999999988E-2</v>
      </c>
      <c r="C388">
        <v>0.3</v>
      </c>
      <c r="D388">
        <v>3.8065316472997757</v>
      </c>
      <c r="E388">
        <v>1.5641464923321182</v>
      </c>
      <c r="F388">
        <v>0.48471661983601438</v>
      </c>
      <c r="G388" s="166">
        <v>35.335633662118909</v>
      </c>
    </row>
    <row r="389" spans="1:7" x14ac:dyDescent="0.25">
      <c r="A389">
        <v>14</v>
      </c>
      <c r="B389">
        <v>6.4999999999999988E-2</v>
      </c>
      <c r="C389">
        <v>0.3</v>
      </c>
      <c r="D389">
        <v>3.7299586962093474</v>
      </c>
      <c r="E389">
        <v>1.5326818090053491</v>
      </c>
      <c r="F389">
        <v>0.47496596347413972</v>
      </c>
      <c r="G389" s="166">
        <v>34.671843322819527</v>
      </c>
    </row>
    <row r="390" spans="1:7" x14ac:dyDescent="0.25">
      <c r="A390">
        <v>13</v>
      </c>
      <c r="B390">
        <v>6.4999999999999988E-2</v>
      </c>
      <c r="C390">
        <v>0.3</v>
      </c>
      <c r="D390">
        <v>3.6434929301632613</v>
      </c>
      <c r="E390">
        <v>1.4971520571999928</v>
      </c>
      <c r="F390">
        <v>0.46395557456035746</v>
      </c>
      <c r="G390" s="166">
        <v>33.996400620719378</v>
      </c>
    </row>
    <row r="391" spans="1:7" x14ac:dyDescent="0.25">
      <c r="A391">
        <v>12</v>
      </c>
      <c r="B391">
        <v>6.4999999999999988E-2</v>
      </c>
      <c r="C391">
        <v>0.3</v>
      </c>
      <c r="D391">
        <v>3.5457220800314677</v>
      </c>
      <c r="E391">
        <v>1.4569769197111304</v>
      </c>
      <c r="F391">
        <v>0.45150561738530176</v>
      </c>
      <c r="G391" s="166">
        <v>33.30949017402984</v>
      </c>
    </row>
    <row r="392" spans="1:7" x14ac:dyDescent="0.25">
      <c r="A392">
        <v>11</v>
      </c>
      <c r="B392">
        <v>6.4999999999999988E-2</v>
      </c>
      <c r="C392">
        <v>0.3</v>
      </c>
      <c r="D392">
        <v>3.434863205323631</v>
      </c>
      <c r="E392">
        <v>1.4114237663198661</v>
      </c>
      <c r="F392">
        <v>0.43738905564192976</v>
      </c>
      <c r="G392" s="166">
        <v>32.614504211409596</v>
      </c>
    </row>
    <row r="393" spans="1:7" x14ac:dyDescent="0.25">
      <c r="A393">
        <v>10</v>
      </c>
      <c r="B393">
        <v>6.4999999999999988E-2</v>
      </c>
      <c r="C393">
        <v>0.3</v>
      </c>
      <c r="D393">
        <v>3.30798075256951</v>
      </c>
      <c r="E393">
        <v>1.35928634522299</v>
      </c>
      <c r="F393">
        <v>0.42123208144230428</v>
      </c>
      <c r="G393" s="166">
        <v>31.901883163045113</v>
      </c>
    </row>
    <row r="394" spans="1:7" x14ac:dyDescent="0.25">
      <c r="A394">
        <v>9</v>
      </c>
      <c r="B394">
        <v>6.4999999999999988E-2</v>
      </c>
      <c r="C394">
        <v>0.3</v>
      </c>
      <c r="D394">
        <v>3.1599244869023142</v>
      </c>
      <c r="E394">
        <v>1.2984483672239333</v>
      </c>
      <c r="F394">
        <v>0.40237887351202106</v>
      </c>
      <c r="G394" s="166">
        <v>31.220345913590297</v>
      </c>
    </row>
    <row r="395" spans="1:7" x14ac:dyDescent="0.25">
      <c r="A395">
        <v>8</v>
      </c>
      <c r="B395">
        <v>6.4999999999999988E-2</v>
      </c>
      <c r="C395">
        <v>0.3</v>
      </c>
      <c r="D395">
        <v>2.9863576270299839</v>
      </c>
      <c r="E395">
        <v>1.2271278003117976</v>
      </c>
      <c r="F395">
        <v>0.3802771942333143</v>
      </c>
      <c r="G395" s="166">
        <v>30.564893287969046</v>
      </c>
    </row>
    <row r="396" spans="1:7" x14ac:dyDescent="0.25">
      <c r="A396">
        <v>7</v>
      </c>
      <c r="B396">
        <v>6.4999999999999988E-2</v>
      </c>
      <c r="C396">
        <v>0.3</v>
      </c>
      <c r="D396">
        <v>2.7796475309049113</v>
      </c>
      <c r="E396">
        <v>1.1421883063729983</v>
      </c>
      <c r="F396">
        <v>0.35395511724472595</v>
      </c>
      <c r="G396" s="166">
        <v>29.987975116627602</v>
      </c>
    </row>
    <row r="397" spans="1:7" x14ac:dyDescent="0.25">
      <c r="A397">
        <v>6</v>
      </c>
      <c r="B397">
        <v>6.4999999999999988E-2</v>
      </c>
      <c r="C397">
        <v>0.3</v>
      </c>
      <c r="D397">
        <v>2.5268035804267184</v>
      </c>
      <c r="E397">
        <v>1.0382918949170723</v>
      </c>
      <c r="F397">
        <v>0.32175844153635175</v>
      </c>
      <c r="G397" s="166">
        <v>29.597534610176481</v>
      </c>
    </row>
    <row r="398" spans="1:7" x14ac:dyDescent="0.25">
      <c r="A398">
        <v>5</v>
      </c>
      <c r="B398">
        <v>6.4999999999999988E-2</v>
      </c>
      <c r="C398">
        <v>0.3</v>
      </c>
      <c r="D398">
        <v>2.2097935920700289</v>
      </c>
      <c r="E398">
        <v>0.9080289397478698</v>
      </c>
      <c r="F398">
        <v>0.28139098258733447</v>
      </c>
      <c r="G398" s="166">
        <v>29.629842578400069</v>
      </c>
    </row>
    <row r="399" spans="1:7" x14ac:dyDescent="0.25">
      <c r="A399">
        <v>4</v>
      </c>
      <c r="B399">
        <v>6.4999999999999988E-2</v>
      </c>
      <c r="C399">
        <v>0.3</v>
      </c>
      <c r="D399">
        <v>1.8072286787127854</v>
      </c>
      <c r="E399">
        <v>0.74261050756160851</v>
      </c>
      <c r="F399">
        <v>0.23012911951954163</v>
      </c>
      <c r="G399" s="166">
        <v>29.805519550289635</v>
      </c>
    </row>
    <row r="400" spans="1:7" x14ac:dyDescent="0.25">
      <c r="A400">
        <v>3</v>
      </c>
      <c r="B400">
        <v>6.4999999999999988E-2</v>
      </c>
      <c r="C400">
        <v>0.3</v>
      </c>
      <c r="D400">
        <v>1.3818440571671897</v>
      </c>
      <c r="E400">
        <v>0.56781520166823551</v>
      </c>
      <c r="F400">
        <v>0.17596143749539025</v>
      </c>
      <c r="G400" s="166">
        <v>29.465102735512531</v>
      </c>
    </row>
    <row r="401" spans="1:7" x14ac:dyDescent="0.25">
      <c r="A401">
        <v>2</v>
      </c>
      <c r="B401">
        <v>6.4999999999999988E-2</v>
      </c>
      <c r="C401">
        <v>0.3</v>
      </c>
      <c r="D401">
        <v>0.95443340867188975</v>
      </c>
      <c r="E401">
        <v>0.39218737860690517</v>
      </c>
      <c r="F401">
        <v>0.12153576498915425</v>
      </c>
      <c r="G401" s="166">
        <v>28.836869149631369</v>
      </c>
    </row>
    <row r="402" spans="1:7" x14ac:dyDescent="0.25">
      <c r="A402">
        <v>1</v>
      </c>
      <c r="B402">
        <v>6.4999999999999988E-2</v>
      </c>
      <c r="C402">
        <v>0.3</v>
      </c>
      <c r="D402">
        <v>0.52113794369551791</v>
      </c>
      <c r="E402">
        <v>0.21414141853536067</v>
      </c>
      <c r="F402">
        <v>6.6360730959788936E-2</v>
      </c>
      <c r="G402" s="166">
        <v>27.268931561525729</v>
      </c>
    </row>
    <row r="403" spans="1:7" x14ac:dyDescent="0.25">
      <c r="A403">
        <v>50</v>
      </c>
      <c r="B403">
        <v>5.9999999999999991E-2</v>
      </c>
      <c r="C403">
        <v>0.3</v>
      </c>
      <c r="D403">
        <v>4.776603470180925</v>
      </c>
      <c r="E403">
        <v>1.9627598705096303</v>
      </c>
      <c r="F403">
        <v>0.60824375123886565</v>
      </c>
      <c r="G403" s="166">
        <v>44.225740310639516</v>
      </c>
    </row>
    <row r="404" spans="1:7" x14ac:dyDescent="0.25">
      <c r="A404">
        <v>49</v>
      </c>
      <c r="B404">
        <v>5.9999999999999991E-2</v>
      </c>
      <c r="C404">
        <v>0.3</v>
      </c>
      <c r="D404">
        <v>4.7642662593686573</v>
      </c>
      <c r="E404">
        <v>1.9576903723929235</v>
      </c>
      <c r="F404">
        <v>0.60667275389082864</v>
      </c>
      <c r="G404" s="166">
        <v>44.076330858560965</v>
      </c>
    </row>
    <row r="405" spans="1:7" x14ac:dyDescent="0.25">
      <c r="A405">
        <v>48</v>
      </c>
      <c r="B405">
        <v>5.9999999999999991E-2</v>
      </c>
      <c r="C405">
        <v>0.3</v>
      </c>
      <c r="D405">
        <v>4.7518222374832524</v>
      </c>
      <c r="E405">
        <v>1.9525769844098322</v>
      </c>
      <c r="F405">
        <v>0.60508815542052896</v>
      </c>
      <c r="G405" s="166">
        <v>43.927074727858091</v>
      </c>
    </row>
    <row r="406" spans="1:7" x14ac:dyDescent="0.25">
      <c r="A406">
        <v>47</v>
      </c>
      <c r="B406">
        <v>5.9999999999999991E-2</v>
      </c>
      <c r="C406">
        <v>0.3</v>
      </c>
      <c r="D406">
        <v>4.7383739952043253</v>
      </c>
      <c r="E406">
        <v>1.9470509510183753</v>
      </c>
      <c r="F406">
        <v>0.603375681403716</v>
      </c>
      <c r="G406" s="166">
        <v>43.785763533138173</v>
      </c>
    </row>
    <row r="407" spans="1:7" x14ac:dyDescent="0.25">
      <c r="A407">
        <v>46</v>
      </c>
      <c r="B407">
        <v>5.9999999999999991E-2</v>
      </c>
      <c r="C407">
        <v>0.3</v>
      </c>
      <c r="D407">
        <v>4.7249257529253983</v>
      </c>
      <c r="E407">
        <v>1.9415249176269183</v>
      </c>
      <c r="F407">
        <v>0.60166320738690293</v>
      </c>
      <c r="G407" s="166">
        <v>43.64364792908669</v>
      </c>
    </row>
    <row r="408" spans="1:7" x14ac:dyDescent="0.25">
      <c r="A408">
        <v>45</v>
      </c>
      <c r="B408">
        <v>5.9999999999999991E-2</v>
      </c>
      <c r="C408">
        <v>0.3</v>
      </c>
      <c r="D408">
        <v>4.711376878156587</v>
      </c>
      <c r="E408">
        <v>1.9359575332181438</v>
      </c>
      <c r="F408">
        <v>0.59993791901706151</v>
      </c>
      <c r="G408" s="166">
        <v>43.467510202768501</v>
      </c>
    </row>
    <row r="409" spans="1:7" x14ac:dyDescent="0.25">
      <c r="A409">
        <v>44</v>
      </c>
      <c r="B409">
        <v>5.9999999999999991E-2</v>
      </c>
      <c r="C409">
        <v>0.3</v>
      </c>
      <c r="D409">
        <v>4.6966429187168091</v>
      </c>
      <c r="E409">
        <v>1.9299031842434702</v>
      </c>
      <c r="F409">
        <v>0.59806172418192427</v>
      </c>
      <c r="G409" s="166">
        <v>43.289735998441117</v>
      </c>
    </row>
    <row r="410" spans="1:7" x14ac:dyDescent="0.25">
      <c r="A410">
        <v>43</v>
      </c>
      <c r="B410">
        <v>5.9999999999999991E-2</v>
      </c>
      <c r="C410">
        <v>0.3</v>
      </c>
      <c r="D410">
        <v>4.6813981832634539</v>
      </c>
      <c r="E410">
        <v>1.9236389516834147</v>
      </c>
      <c r="F410">
        <v>0.59612048808462659</v>
      </c>
      <c r="G410" s="166">
        <v>43.116152128108361</v>
      </c>
    </row>
    <row r="411" spans="1:7" x14ac:dyDescent="0.25">
      <c r="A411">
        <v>42</v>
      </c>
      <c r="B411">
        <v>5.9999999999999991E-2</v>
      </c>
      <c r="C411">
        <v>0.3</v>
      </c>
      <c r="D411">
        <v>4.6659375783192303</v>
      </c>
      <c r="E411">
        <v>1.9172860159315226</v>
      </c>
      <c r="F411">
        <v>0.59415176357014632</v>
      </c>
      <c r="G411" s="166">
        <v>42.943308689612422</v>
      </c>
    </row>
    <row r="412" spans="1:7" x14ac:dyDescent="0.25">
      <c r="A412">
        <v>41</v>
      </c>
      <c r="B412">
        <v>5.9999999999999991E-2</v>
      </c>
      <c r="C412">
        <v>0.3</v>
      </c>
      <c r="D412">
        <v>4.6494261637600101</v>
      </c>
      <c r="E412">
        <v>1.9105012907382968</v>
      </c>
      <c r="F412">
        <v>0.59204923092483552</v>
      </c>
      <c r="G412" s="166">
        <v>42.778434983546376</v>
      </c>
    </row>
    <row r="413" spans="1:7" x14ac:dyDescent="0.25">
      <c r="A413">
        <v>40</v>
      </c>
      <c r="B413">
        <v>5.9999999999999991E-2</v>
      </c>
      <c r="C413">
        <v>0.3</v>
      </c>
      <c r="D413">
        <v>4.6328506293692788</v>
      </c>
      <c r="E413">
        <v>1.9036902179880717</v>
      </c>
      <c r="F413">
        <v>0.58993853338011648</v>
      </c>
      <c r="G413" s="166">
        <v>42.592301433803378</v>
      </c>
    </row>
    <row r="414" spans="1:7" x14ac:dyDescent="0.25">
      <c r="A414">
        <v>39</v>
      </c>
      <c r="B414">
        <v>5.9999999999999991E-2</v>
      </c>
      <c r="C414">
        <v>0.3</v>
      </c>
      <c r="D414">
        <v>4.6152548210066797</v>
      </c>
      <c r="E414">
        <v>1.8964599032343168</v>
      </c>
      <c r="F414">
        <v>0.58769791605624599</v>
      </c>
      <c r="G414" s="166">
        <v>42.38528054143206</v>
      </c>
    </row>
    <row r="415" spans="1:7" x14ac:dyDescent="0.25">
      <c r="A415">
        <v>38</v>
      </c>
      <c r="B415">
        <v>5.9999999999999991E-2</v>
      </c>
      <c r="C415">
        <v>0.3</v>
      </c>
      <c r="D415">
        <v>4.5967112649032735</v>
      </c>
      <c r="E415">
        <v>1.8888401483177688</v>
      </c>
      <c r="F415">
        <v>0.58533661430782657</v>
      </c>
      <c r="G415" s="166">
        <v>42.186440423059324</v>
      </c>
    </row>
    <row r="416" spans="1:7" x14ac:dyDescent="0.25">
      <c r="A416">
        <v>37</v>
      </c>
      <c r="B416">
        <v>5.9999999999999991E-2</v>
      </c>
      <c r="C416">
        <v>0.3</v>
      </c>
      <c r="D416">
        <v>4.5777872298215136</v>
      </c>
      <c r="E416">
        <v>1.8810640503271214</v>
      </c>
      <c r="F416">
        <v>0.58292686307799102</v>
      </c>
      <c r="G416" s="166">
        <v>41.98929107386909</v>
      </c>
    </row>
    <row r="417" spans="1:7" x14ac:dyDescent="0.25">
      <c r="A417">
        <v>36</v>
      </c>
      <c r="B417">
        <v>5.9999999999999991E-2</v>
      </c>
      <c r="C417">
        <v>0.3</v>
      </c>
      <c r="D417">
        <v>4.5578108426498805</v>
      </c>
      <c r="E417">
        <v>1.8728555290749354</v>
      </c>
      <c r="F417">
        <v>0.58038310730145937</v>
      </c>
      <c r="G417" s="166">
        <v>41.799631479500164</v>
      </c>
    </row>
    <row r="418" spans="1:7" x14ac:dyDescent="0.25">
      <c r="A418">
        <v>35</v>
      </c>
      <c r="B418">
        <v>5.9999999999999991E-2</v>
      </c>
      <c r="C418">
        <v>0.3</v>
      </c>
      <c r="D418">
        <v>4.537391082395696</v>
      </c>
      <c r="E418">
        <v>1.8644648208567329</v>
      </c>
      <c r="F418">
        <v>0.57778289322592646</v>
      </c>
      <c r="G418" s="166">
        <v>41.561449964896674</v>
      </c>
    </row>
    <row r="419" spans="1:7" x14ac:dyDescent="0.25">
      <c r="A419">
        <v>34</v>
      </c>
      <c r="B419">
        <v>5.9999999999999991E-2</v>
      </c>
      <c r="C419">
        <v>0.3</v>
      </c>
      <c r="D419">
        <v>4.5151310727331984</v>
      </c>
      <c r="E419">
        <v>1.8553179335432981</v>
      </c>
      <c r="F419">
        <v>0.57494834523293215</v>
      </c>
      <c r="G419" s="166">
        <v>41.336937986422207</v>
      </c>
    </row>
    <row r="420" spans="1:7" x14ac:dyDescent="0.25">
      <c r="A420">
        <v>33</v>
      </c>
      <c r="B420">
        <v>5.9999999999999991E-2</v>
      </c>
      <c r="C420">
        <v>0.3</v>
      </c>
      <c r="D420">
        <v>4.4926331370876129</v>
      </c>
      <c r="E420">
        <v>1.8460732797783099</v>
      </c>
      <c r="F420">
        <v>0.57208350019029286</v>
      </c>
      <c r="G420" s="166">
        <v>41.112266467086428</v>
      </c>
    </row>
    <row r="421" spans="1:7" x14ac:dyDescent="0.25">
      <c r="A421">
        <v>32</v>
      </c>
      <c r="B421">
        <v>5.9999999999999991E-2</v>
      </c>
      <c r="C421">
        <v>0.3</v>
      </c>
      <c r="D421">
        <v>4.4687329285711304</v>
      </c>
      <c r="E421">
        <v>1.836252416383261</v>
      </c>
      <c r="F421">
        <v>0.56904009234323005</v>
      </c>
      <c r="G421" s="166">
        <v>40.888739260309791</v>
      </c>
    </row>
    <row r="422" spans="1:7" x14ac:dyDescent="0.25">
      <c r="A422">
        <v>31</v>
      </c>
      <c r="B422">
        <v>5.9999999999999991E-2</v>
      </c>
      <c r="C422">
        <v>0.3</v>
      </c>
      <c r="D422">
        <v>4.4436662982933477</v>
      </c>
      <c r="E422">
        <v>1.825952257220945</v>
      </c>
      <c r="F422">
        <v>0.56584815453087922</v>
      </c>
      <c r="G422" s="166">
        <v>40.625543722782098</v>
      </c>
    </row>
    <row r="423" spans="1:7" x14ac:dyDescent="0.25">
      <c r="A423">
        <v>30</v>
      </c>
      <c r="B423">
        <v>5.9999999999999991E-2</v>
      </c>
      <c r="C423">
        <v>0.3</v>
      </c>
      <c r="D423">
        <v>4.4172442136970966</v>
      </c>
      <c r="E423">
        <v>1.8150951266961941</v>
      </c>
      <c r="F423">
        <v>0.56248361570099692</v>
      </c>
      <c r="G423" s="166">
        <v>40.373136600190143</v>
      </c>
    </row>
    <row r="424" spans="1:7" x14ac:dyDescent="0.25">
      <c r="A424">
        <v>29</v>
      </c>
      <c r="B424">
        <v>5.9999999999999991E-2</v>
      </c>
      <c r="C424">
        <v>0.3</v>
      </c>
      <c r="D424">
        <v>4.3896536568894264</v>
      </c>
      <c r="E424">
        <v>1.803757857851255</v>
      </c>
      <c r="F424">
        <v>0.55897028580534391</v>
      </c>
      <c r="G424" s="166">
        <v>40.127844424432624</v>
      </c>
    </row>
    <row r="425" spans="1:7" x14ac:dyDescent="0.25">
      <c r="A425">
        <v>28</v>
      </c>
      <c r="B425">
        <v>5.9999999999999991E-2</v>
      </c>
      <c r="C425">
        <v>0.3</v>
      </c>
      <c r="D425">
        <v>4.3605990692801875</v>
      </c>
      <c r="E425">
        <v>1.7918190023507667</v>
      </c>
      <c r="F425">
        <v>0.55527052896589413</v>
      </c>
      <c r="G425" s="166">
        <v>39.838219256532362</v>
      </c>
    </row>
    <row r="426" spans="1:7" x14ac:dyDescent="0.25">
      <c r="A426">
        <v>27</v>
      </c>
      <c r="B426">
        <v>5.9999999999999991E-2</v>
      </c>
      <c r="C426">
        <v>0.3</v>
      </c>
      <c r="D426">
        <v>4.3295395458914969</v>
      </c>
      <c r="E426">
        <v>1.7790562962804284</v>
      </c>
      <c r="F426">
        <v>0.55131546735452841</v>
      </c>
      <c r="G426" s="166">
        <v>39.558665372053454</v>
      </c>
    </row>
    <row r="427" spans="1:7" x14ac:dyDescent="0.25">
      <c r="A427">
        <v>26</v>
      </c>
      <c r="B427">
        <v>5.9999999999999991E-2</v>
      </c>
      <c r="C427">
        <v>0.3</v>
      </c>
      <c r="D427">
        <v>4.2971659254334211</v>
      </c>
      <c r="E427">
        <v>1.7657536130045619</v>
      </c>
      <c r="F427">
        <v>0.54719307108037052</v>
      </c>
      <c r="G427" s="166">
        <v>39.281380912044341</v>
      </c>
    </row>
    <row r="428" spans="1:7" x14ac:dyDescent="0.25">
      <c r="A428">
        <v>25</v>
      </c>
      <c r="B428">
        <v>5.9999999999999991E-2</v>
      </c>
      <c r="C428">
        <v>0.3</v>
      </c>
      <c r="D428">
        <v>4.2624449459733782</v>
      </c>
      <c r="E428">
        <v>1.751486373621097</v>
      </c>
      <c r="F428">
        <v>0.54277176650164571</v>
      </c>
      <c r="G428" s="166">
        <v>38.96275447261484</v>
      </c>
    </row>
    <row r="429" spans="1:7" x14ac:dyDescent="0.25">
      <c r="A429">
        <v>24</v>
      </c>
      <c r="B429">
        <v>5.9999999999999991E-2</v>
      </c>
      <c r="C429">
        <v>0.3</v>
      </c>
      <c r="D429">
        <v>4.226135344287739</v>
      </c>
      <c r="E429">
        <v>1.7365663515703527</v>
      </c>
      <c r="F429">
        <v>0.53814816974023705</v>
      </c>
      <c r="G429" s="166">
        <v>38.65476431777585</v>
      </c>
    </row>
    <row r="430" spans="1:7" x14ac:dyDescent="0.25">
      <c r="A430">
        <v>23</v>
      </c>
      <c r="B430">
        <v>5.9999999999999991E-2</v>
      </c>
      <c r="C430">
        <v>0.3</v>
      </c>
      <c r="D430">
        <v>4.1872728701492408</v>
      </c>
      <c r="E430">
        <v>1.7205973256330012</v>
      </c>
      <c r="F430">
        <v>0.5331994949758383</v>
      </c>
      <c r="G430" s="166">
        <v>38.32186962966454</v>
      </c>
    </row>
    <row r="431" spans="1:7" x14ac:dyDescent="0.25">
      <c r="A431">
        <v>22</v>
      </c>
      <c r="B431">
        <v>5.9999999999999991E-2</v>
      </c>
      <c r="C431">
        <v>0.3</v>
      </c>
      <c r="D431">
        <v>4.1453839780375299</v>
      </c>
      <c r="E431">
        <v>1.7033847106503597</v>
      </c>
      <c r="F431">
        <v>0.52786544180765649</v>
      </c>
      <c r="G431" s="166">
        <v>37.987097006695365</v>
      </c>
    </row>
    <row r="432" spans="1:7" x14ac:dyDescent="0.25">
      <c r="A432">
        <v>21</v>
      </c>
      <c r="B432">
        <v>5.9999999999999991E-2</v>
      </c>
      <c r="C432">
        <v>0.3</v>
      </c>
      <c r="D432">
        <v>4.1014504634719637</v>
      </c>
      <c r="E432">
        <v>1.6853319373988096</v>
      </c>
      <c r="F432">
        <v>0.52227103024067423</v>
      </c>
      <c r="G432" s="166">
        <v>37.630410451660111</v>
      </c>
    </row>
    <row r="433" spans="1:7" x14ac:dyDescent="0.25">
      <c r="A433">
        <v>20</v>
      </c>
      <c r="B433">
        <v>5.9999999999999991E-2</v>
      </c>
      <c r="C433">
        <v>0.3</v>
      </c>
      <c r="D433">
        <v>4.0533834649304099</v>
      </c>
      <c r="E433">
        <v>1.6655806692807478</v>
      </c>
      <c r="F433">
        <v>0.51615026855588642</v>
      </c>
      <c r="G433" s="166">
        <v>37.267954211457855</v>
      </c>
    </row>
    <row r="434" spans="1:7" x14ac:dyDescent="0.25">
      <c r="A434">
        <v>19</v>
      </c>
      <c r="B434">
        <v>5.9999999999999991E-2</v>
      </c>
      <c r="C434">
        <v>0.3</v>
      </c>
      <c r="D434">
        <v>4.0024944146415207</v>
      </c>
      <c r="E434">
        <v>1.6446697884887957</v>
      </c>
      <c r="F434">
        <v>0.50967015208025102</v>
      </c>
      <c r="G434" s="166">
        <v>36.880658802927456</v>
      </c>
    </row>
    <row r="435" spans="1:7" x14ac:dyDescent="0.25">
      <c r="A435">
        <v>18</v>
      </c>
      <c r="B435">
        <v>5.9999999999999991E-2</v>
      </c>
      <c r="C435">
        <v>0.3</v>
      </c>
      <c r="D435">
        <v>3.9473788476898584</v>
      </c>
      <c r="E435">
        <v>1.6220221846572365</v>
      </c>
      <c r="F435">
        <v>0.50265183887849252</v>
      </c>
      <c r="G435" s="166">
        <v>36.49131116692589</v>
      </c>
    </row>
    <row r="436" spans="1:7" x14ac:dyDescent="0.25">
      <c r="A436">
        <v>17</v>
      </c>
      <c r="B436">
        <v>5.9999999999999991E-2</v>
      </c>
      <c r="C436">
        <v>0.3</v>
      </c>
      <c r="D436">
        <v>3.8871600921310154</v>
      </c>
      <c r="E436">
        <v>1.5972776234641657</v>
      </c>
      <c r="F436">
        <v>0.49498369518502833</v>
      </c>
      <c r="G436" s="166">
        <v>36.070527711980134</v>
      </c>
    </row>
    <row r="437" spans="1:7" x14ac:dyDescent="0.25">
      <c r="A437">
        <v>16</v>
      </c>
      <c r="B437">
        <v>5.9999999999999991E-2</v>
      </c>
      <c r="C437">
        <v>0.3</v>
      </c>
      <c r="D437">
        <v>3.8209012533623024</v>
      </c>
      <c r="E437">
        <v>1.5700511244228139</v>
      </c>
      <c r="F437">
        <v>0.48654641859361669</v>
      </c>
      <c r="G437" s="166">
        <v>35.486409716013412</v>
      </c>
    </row>
    <row r="438" spans="1:7" x14ac:dyDescent="0.25">
      <c r="A438">
        <v>15</v>
      </c>
      <c r="B438">
        <v>5.9999999999999991E-2</v>
      </c>
      <c r="C438">
        <v>0.3</v>
      </c>
      <c r="D438">
        <v>3.7464626713507823</v>
      </c>
      <c r="E438">
        <v>1.539463477258475</v>
      </c>
      <c r="F438">
        <v>0.47706754879790514</v>
      </c>
      <c r="G438" s="166">
        <v>34.85912203449368</v>
      </c>
    </row>
    <row r="439" spans="1:7" x14ac:dyDescent="0.25">
      <c r="A439">
        <v>14</v>
      </c>
      <c r="B439">
        <v>5.9999999999999991E-2</v>
      </c>
      <c r="C439">
        <v>0.3</v>
      </c>
      <c r="D439">
        <v>3.6630144946504126</v>
      </c>
      <c r="E439">
        <v>1.5051736867164776</v>
      </c>
      <c r="F439">
        <v>0.46644141406699474</v>
      </c>
      <c r="G439" s="166">
        <v>34.222909948193809</v>
      </c>
    </row>
    <row r="440" spans="1:7" x14ac:dyDescent="0.25">
      <c r="A440">
        <v>13</v>
      </c>
      <c r="B440">
        <v>5.9999999999999991E-2</v>
      </c>
      <c r="C440">
        <v>0.3</v>
      </c>
      <c r="D440">
        <v>3.5689704271499187</v>
      </c>
      <c r="E440">
        <v>1.4665299259559728</v>
      </c>
      <c r="F440">
        <v>0.45446601842124845</v>
      </c>
      <c r="G440" s="166">
        <v>33.578942375960089</v>
      </c>
    </row>
    <row r="441" spans="1:7" x14ac:dyDescent="0.25">
      <c r="A441">
        <v>12</v>
      </c>
      <c r="B441">
        <v>5.9999999999999991E-2</v>
      </c>
      <c r="C441">
        <v>0.3</v>
      </c>
      <c r="D441">
        <v>3.4628521247345194</v>
      </c>
      <c r="E441">
        <v>1.4229247268206839</v>
      </c>
      <c r="F441">
        <v>0.44095311228633782</v>
      </c>
      <c r="G441" s="166">
        <v>32.917855581062923</v>
      </c>
    </row>
    <row r="442" spans="1:7" x14ac:dyDescent="0.25">
      <c r="A442">
        <v>11</v>
      </c>
      <c r="B442">
        <v>5.9999999999999991E-2</v>
      </c>
      <c r="C442">
        <v>0.3</v>
      </c>
      <c r="D442">
        <v>3.340616944867318</v>
      </c>
      <c r="E442">
        <v>1.3726969222089727</v>
      </c>
      <c r="F442">
        <v>0.42538791312339208</v>
      </c>
      <c r="G442" s="166">
        <v>32.272759556100006</v>
      </c>
    </row>
    <row r="443" spans="1:7" x14ac:dyDescent="0.25">
      <c r="A443">
        <v>10</v>
      </c>
      <c r="B443">
        <v>5.9999999999999991E-2</v>
      </c>
      <c r="C443">
        <v>0.3</v>
      </c>
      <c r="D443">
        <v>3.2010766499220309</v>
      </c>
      <c r="E443">
        <v>1.3153582519702824</v>
      </c>
      <c r="F443">
        <v>0.40761911297568282</v>
      </c>
      <c r="G443" s="166">
        <v>31.632661840128304</v>
      </c>
    </row>
    <row r="444" spans="1:7" x14ac:dyDescent="0.25">
      <c r="A444">
        <v>9</v>
      </c>
      <c r="B444">
        <v>5.9999999999999991E-2</v>
      </c>
      <c r="C444">
        <v>0.3</v>
      </c>
      <c r="D444">
        <v>3.0375756310122348</v>
      </c>
      <c r="E444">
        <v>1.2481738518610919</v>
      </c>
      <c r="F444">
        <v>0.38679919905695348</v>
      </c>
      <c r="G444" s="166">
        <v>31.042353355503316</v>
      </c>
    </row>
    <row r="445" spans="1:7" x14ac:dyDescent="0.25">
      <c r="A445">
        <v>8</v>
      </c>
      <c r="B445">
        <v>5.9999999999999991E-2</v>
      </c>
      <c r="C445">
        <v>0.3</v>
      </c>
      <c r="D445">
        <v>2.8454837154277093</v>
      </c>
      <c r="E445">
        <v>1.1692411320503873</v>
      </c>
      <c r="F445">
        <v>0.36233857383503904</v>
      </c>
      <c r="G445" s="166">
        <v>30.521558143103444</v>
      </c>
    </row>
    <row r="446" spans="1:7" x14ac:dyDescent="0.25">
      <c r="A446">
        <v>7</v>
      </c>
      <c r="B446">
        <v>5.9999999999999991E-2</v>
      </c>
      <c r="C446">
        <v>0.3</v>
      </c>
      <c r="D446">
        <v>2.6143101453261308</v>
      </c>
      <c r="E446">
        <v>1.0742493226296574</v>
      </c>
      <c r="F446">
        <v>0.33290136382929852</v>
      </c>
      <c r="G446" s="166">
        <v>30.17248063353405</v>
      </c>
    </row>
    <row r="447" spans="1:7" x14ac:dyDescent="0.25">
      <c r="A447">
        <v>6</v>
      </c>
      <c r="B447">
        <v>5.9999999999999991E-2</v>
      </c>
      <c r="C447">
        <v>0.3</v>
      </c>
      <c r="D447">
        <v>2.3308198803593254</v>
      </c>
      <c r="E447">
        <v>0.95775999726895034</v>
      </c>
      <c r="F447">
        <v>0.29680224375798592</v>
      </c>
      <c r="G447" s="166">
        <v>30.156077327582278</v>
      </c>
    </row>
    <row r="448" spans="1:7" x14ac:dyDescent="0.25">
      <c r="A448">
        <v>5</v>
      </c>
      <c r="B448">
        <v>5.9999999999999991E-2</v>
      </c>
      <c r="C448">
        <v>0.3</v>
      </c>
      <c r="D448">
        <v>1.9781363769792257</v>
      </c>
      <c r="E448">
        <v>0.81283839518356993</v>
      </c>
      <c r="F448">
        <v>0.25189218613332576</v>
      </c>
      <c r="G448" s="166">
        <v>30.299784750287095</v>
      </c>
    </row>
    <row r="449" spans="1:7" x14ac:dyDescent="0.25">
      <c r="A449">
        <v>4</v>
      </c>
      <c r="B449">
        <v>5.9999999999999991E-2</v>
      </c>
      <c r="C449">
        <v>0.3</v>
      </c>
      <c r="D449">
        <v>1.6026656146793261</v>
      </c>
      <c r="E449">
        <v>0.65855325315900304</v>
      </c>
      <c r="F449">
        <v>0.20408044158146804</v>
      </c>
      <c r="G449" s="166">
        <v>30.057630147212791</v>
      </c>
    </row>
    <row r="450" spans="1:7" x14ac:dyDescent="0.25">
      <c r="A450">
        <v>3</v>
      </c>
      <c r="B450">
        <v>5.9999999999999991E-2</v>
      </c>
      <c r="C450">
        <v>0.3</v>
      </c>
      <c r="D450">
        <v>1.226425337792052</v>
      </c>
      <c r="E450">
        <v>0.50395190897084874</v>
      </c>
      <c r="F450">
        <v>0.15617070848143388</v>
      </c>
      <c r="G450" s="166">
        <v>29.672338664751578</v>
      </c>
    </row>
    <row r="451" spans="1:7" x14ac:dyDescent="0.25">
      <c r="A451">
        <v>2</v>
      </c>
      <c r="B451">
        <v>5.9999999999999991E-2</v>
      </c>
      <c r="C451">
        <v>0.3</v>
      </c>
      <c r="D451">
        <v>0.84844773974861776</v>
      </c>
      <c r="E451">
        <v>0.34863668005921128</v>
      </c>
      <c r="F451">
        <v>0.10803974815503975</v>
      </c>
      <c r="G451" s="166">
        <v>28.963855275211461</v>
      </c>
    </row>
    <row r="452" spans="1:7" x14ac:dyDescent="0.25">
      <c r="A452">
        <v>1</v>
      </c>
      <c r="B452">
        <v>5.9999999999999991E-2</v>
      </c>
      <c r="C452">
        <v>0.3</v>
      </c>
      <c r="D452">
        <v>0.46515714035619954</v>
      </c>
      <c r="E452">
        <v>0.19113827938026065</v>
      </c>
      <c r="F452">
        <v>5.9232240174854157E-2</v>
      </c>
      <c r="G452" s="166">
        <v>27.214247614639604</v>
      </c>
    </row>
    <row r="453" spans="1:7" x14ac:dyDescent="0.25">
      <c r="A453">
        <v>50</v>
      </c>
      <c r="B453">
        <v>5.4999999999999993E-2</v>
      </c>
      <c r="C453">
        <v>0.3</v>
      </c>
      <c r="D453">
        <v>4.7638745935264293</v>
      </c>
      <c r="E453">
        <v>1.9575294325111492</v>
      </c>
      <c r="F453">
        <v>0.60662287989509178</v>
      </c>
      <c r="G453" s="166">
        <v>44.082936535334781</v>
      </c>
    </row>
    <row r="454" spans="1:7" x14ac:dyDescent="0.25">
      <c r="A454">
        <v>49</v>
      </c>
      <c r="B454">
        <v>5.4999999999999993E-2</v>
      </c>
      <c r="C454">
        <v>0.3</v>
      </c>
      <c r="D454">
        <v>4.7510991069754898</v>
      </c>
      <c r="E454">
        <v>1.9522798419841236</v>
      </c>
      <c r="F454">
        <v>0.60499607333428873</v>
      </c>
      <c r="G454" s="166">
        <v>43.941607881775781</v>
      </c>
    </row>
    <row r="455" spans="1:7" x14ac:dyDescent="0.25">
      <c r="A455">
        <v>48</v>
      </c>
      <c r="B455">
        <v>5.4999999999999993E-2</v>
      </c>
      <c r="C455">
        <v>0.3</v>
      </c>
      <c r="D455">
        <v>4.737936869579829</v>
      </c>
      <c r="E455">
        <v>1.9468713312028538</v>
      </c>
      <c r="F455">
        <v>0.6033200186443376</v>
      </c>
      <c r="G455" s="166">
        <v>43.80288092776614</v>
      </c>
    </row>
    <row r="456" spans="1:7" x14ac:dyDescent="0.25">
      <c r="A456">
        <v>47</v>
      </c>
      <c r="B456">
        <v>5.4999999999999993E-2</v>
      </c>
      <c r="C456">
        <v>0.3</v>
      </c>
      <c r="D456">
        <v>4.7247257422096238</v>
      </c>
      <c r="E456">
        <v>1.9414427309834079</v>
      </c>
      <c r="F456">
        <v>0.60163773839647694</v>
      </c>
      <c r="G456" s="166">
        <v>43.647293600563351</v>
      </c>
    </row>
    <row r="457" spans="1:7" x14ac:dyDescent="0.25">
      <c r="A457">
        <v>46</v>
      </c>
      <c r="B457">
        <v>5.4999999999999993E-2</v>
      </c>
      <c r="C457">
        <v>0.3</v>
      </c>
      <c r="D457">
        <v>4.7109586243063308</v>
      </c>
      <c r="E457">
        <v>1.9357856680260477</v>
      </c>
      <c r="F457">
        <v>0.59988465935411517</v>
      </c>
      <c r="G457" s="166">
        <v>43.467717643240881</v>
      </c>
    </row>
    <row r="458" spans="1:7" x14ac:dyDescent="0.25">
      <c r="A458">
        <v>45</v>
      </c>
      <c r="B458">
        <v>5.4999999999999993E-2</v>
      </c>
      <c r="C458">
        <v>0.3</v>
      </c>
      <c r="D458">
        <v>4.6960614926426771</v>
      </c>
      <c r="E458">
        <v>1.9296642697568271</v>
      </c>
      <c r="F458">
        <v>0.59798768647320388</v>
      </c>
      <c r="G458" s="166">
        <v>43.298840662708812</v>
      </c>
    </row>
    <row r="459" spans="1:7" x14ac:dyDescent="0.25">
      <c r="A459">
        <v>44</v>
      </c>
      <c r="B459">
        <v>5.4999999999999993E-2</v>
      </c>
      <c r="C459">
        <v>0.3</v>
      </c>
      <c r="D459">
        <v>4.6811643609790226</v>
      </c>
      <c r="E459">
        <v>1.9235428714876068</v>
      </c>
      <c r="F459">
        <v>0.5960907135922926</v>
      </c>
      <c r="G459" s="166">
        <v>43.128888828819782</v>
      </c>
    </row>
    <row r="460" spans="1:7" x14ac:dyDescent="0.25">
      <c r="A460">
        <v>43</v>
      </c>
      <c r="B460">
        <v>5.4999999999999993E-2</v>
      </c>
      <c r="C460">
        <v>0.3</v>
      </c>
      <c r="D460">
        <v>4.6654315080408475</v>
      </c>
      <c r="E460">
        <v>1.9170780659854427</v>
      </c>
      <c r="F460">
        <v>0.59408732152750332</v>
      </c>
      <c r="G460" s="166">
        <v>42.965113167964461</v>
      </c>
    </row>
    <row r="461" spans="1:7" x14ac:dyDescent="0.25">
      <c r="A461">
        <v>42</v>
      </c>
      <c r="B461">
        <v>5.4999999999999993E-2</v>
      </c>
      <c r="C461">
        <v>0.3</v>
      </c>
      <c r="D461">
        <v>4.6493093409241455</v>
      </c>
      <c r="E461">
        <v>1.9104532869264617</v>
      </c>
      <c r="F461">
        <v>0.59203435492343404</v>
      </c>
      <c r="G461" s="166">
        <v>42.803036569143799</v>
      </c>
    </row>
    <row r="462" spans="1:7" x14ac:dyDescent="0.25">
      <c r="A462">
        <v>41</v>
      </c>
      <c r="B462">
        <v>5.4999999999999993E-2</v>
      </c>
      <c r="C462">
        <v>0.3</v>
      </c>
      <c r="D462">
        <v>4.6329273008323977</v>
      </c>
      <c r="E462">
        <v>1.9037217231510946</v>
      </c>
      <c r="F462">
        <v>0.58994829658081582</v>
      </c>
      <c r="G462" s="166">
        <v>42.594306364675042</v>
      </c>
    </row>
    <row r="463" spans="1:7" x14ac:dyDescent="0.25">
      <c r="A463">
        <v>40</v>
      </c>
      <c r="B463">
        <v>5.4999999999999993E-2</v>
      </c>
      <c r="C463">
        <v>0.3</v>
      </c>
      <c r="D463">
        <v>4.6148515549224864</v>
      </c>
      <c r="E463">
        <v>1.8962941966831799</v>
      </c>
      <c r="F463">
        <v>0.58764656490739553</v>
      </c>
      <c r="G463" s="166">
        <v>42.401553841589866</v>
      </c>
    </row>
    <row r="464" spans="1:7" x14ac:dyDescent="0.25">
      <c r="A464">
        <v>39</v>
      </c>
      <c r="B464">
        <v>5.4999999999999993E-2</v>
      </c>
      <c r="C464">
        <v>0.3</v>
      </c>
      <c r="D464">
        <v>4.5967758090125743</v>
      </c>
      <c r="E464">
        <v>1.8888666702152646</v>
      </c>
      <c r="F464">
        <v>0.58534483323397501</v>
      </c>
      <c r="G464" s="166">
        <v>42.20728541006126</v>
      </c>
    </row>
    <row r="465" spans="1:7" x14ac:dyDescent="0.25">
      <c r="A465">
        <v>38</v>
      </c>
      <c r="B465">
        <v>5.4999999999999993E-2</v>
      </c>
      <c r="C465">
        <v>0.3</v>
      </c>
      <c r="D465">
        <v>4.5776731935425516</v>
      </c>
      <c r="E465">
        <v>1.8810171915427307</v>
      </c>
      <c r="F465">
        <v>0.58291234191153329</v>
      </c>
      <c r="G465" s="166">
        <v>42.02039955475243</v>
      </c>
    </row>
    <row r="466" spans="1:7" x14ac:dyDescent="0.25">
      <c r="A466">
        <v>37</v>
      </c>
      <c r="B466">
        <v>5.4999999999999993E-2</v>
      </c>
      <c r="C466">
        <v>0.3</v>
      </c>
      <c r="D466">
        <v>4.5581325677311133</v>
      </c>
      <c r="E466">
        <v>1.8729877295145831</v>
      </c>
      <c r="F466">
        <v>0.58042407517151562</v>
      </c>
      <c r="G466" s="166">
        <v>41.809397065648689</v>
      </c>
    </row>
    <row r="467" spans="1:7" x14ac:dyDescent="0.25">
      <c r="A467">
        <v>36</v>
      </c>
      <c r="B467">
        <v>5.4999999999999993E-2</v>
      </c>
      <c r="C467">
        <v>0.3</v>
      </c>
      <c r="D467">
        <v>4.5371725454350482</v>
      </c>
      <c r="E467">
        <v>1.8643750215716843</v>
      </c>
      <c r="F467">
        <v>0.57775506513813168</v>
      </c>
      <c r="G467" s="166">
        <v>41.585588771779747</v>
      </c>
    </row>
    <row r="468" spans="1:7" x14ac:dyDescent="0.25">
      <c r="A468">
        <v>35</v>
      </c>
      <c r="B468">
        <v>5.4999999999999993E-2</v>
      </c>
      <c r="C468">
        <v>0.3</v>
      </c>
      <c r="D468">
        <v>4.5155287958991712</v>
      </c>
      <c r="E468">
        <v>1.8554813624472499</v>
      </c>
      <c r="F468">
        <v>0.57499899055694459</v>
      </c>
      <c r="G468" s="166">
        <v>41.366699597323546</v>
      </c>
    </row>
    <row r="469" spans="1:7" x14ac:dyDescent="0.25">
      <c r="A469">
        <v>34</v>
      </c>
      <c r="B469">
        <v>5.4999999999999993E-2</v>
      </c>
      <c r="C469">
        <v>0.3</v>
      </c>
      <c r="D469">
        <v>4.4929704159364094</v>
      </c>
      <c r="E469">
        <v>1.8462118714352733</v>
      </c>
      <c r="F469">
        <v>0.57212644864801732</v>
      </c>
      <c r="G469" s="166">
        <v>41.153647430109039</v>
      </c>
    </row>
    <row r="470" spans="1:7" x14ac:dyDescent="0.25">
      <c r="A470">
        <v>33</v>
      </c>
      <c r="B470">
        <v>5.4999999999999993E-2</v>
      </c>
      <c r="C470">
        <v>0.3</v>
      </c>
      <c r="D470">
        <v>4.4696552245062282</v>
      </c>
      <c r="E470">
        <v>1.8366313981139917</v>
      </c>
      <c r="F470">
        <v>0.56915753578244743</v>
      </c>
      <c r="G470" s="166">
        <v>40.907773966834341</v>
      </c>
    </row>
    <row r="471" spans="1:7" x14ac:dyDescent="0.25">
      <c r="A471">
        <v>32</v>
      </c>
      <c r="B471">
        <v>5.4999999999999993E-2</v>
      </c>
      <c r="C471">
        <v>0.3</v>
      </c>
      <c r="D471">
        <v>4.444216039431593</v>
      </c>
      <c r="E471">
        <v>1.8261781520125164</v>
      </c>
      <c r="F471">
        <v>0.56591815753913055</v>
      </c>
      <c r="G471" s="166">
        <v>40.663193931303539</v>
      </c>
    </row>
    <row r="472" spans="1:7" x14ac:dyDescent="0.25">
      <c r="A472">
        <v>31</v>
      </c>
      <c r="B472">
        <v>5.4999999999999993E-2</v>
      </c>
      <c r="C472">
        <v>0.3</v>
      </c>
      <c r="D472">
        <v>4.4184897347989729</v>
      </c>
      <c r="E472">
        <v>1.8156069252685263</v>
      </c>
      <c r="F472">
        <v>0.56264221802835812</v>
      </c>
      <c r="G472" s="166">
        <v>40.418569033846289</v>
      </c>
    </row>
    <row r="473" spans="1:7" x14ac:dyDescent="0.25">
      <c r="A473">
        <v>30</v>
      </c>
      <c r="B473">
        <v>5.4999999999999993E-2</v>
      </c>
      <c r="C473">
        <v>0.3</v>
      </c>
      <c r="D473">
        <v>4.3910657284890169</v>
      </c>
      <c r="E473">
        <v>1.8043380938886953</v>
      </c>
      <c r="F473">
        <v>0.55915009636155077</v>
      </c>
      <c r="G473" s="166">
        <v>40.163519254931757</v>
      </c>
    </row>
    <row r="474" spans="1:7" x14ac:dyDescent="0.25">
      <c r="A474">
        <v>29</v>
      </c>
      <c r="B474">
        <v>5.4999999999999993E-2</v>
      </c>
      <c r="C474">
        <v>0.3</v>
      </c>
      <c r="D474">
        <v>4.3617729580250044</v>
      </c>
      <c r="E474">
        <v>1.792301366385201</v>
      </c>
      <c r="F474">
        <v>0.55542000976289596</v>
      </c>
      <c r="G474" s="166">
        <v>39.888342661571485</v>
      </c>
    </row>
    <row r="475" spans="1:7" x14ac:dyDescent="0.25">
      <c r="A475">
        <v>28</v>
      </c>
      <c r="B475">
        <v>5.4999999999999993E-2</v>
      </c>
      <c r="C475">
        <v>0.3</v>
      </c>
      <c r="D475">
        <v>4.3316884349366021</v>
      </c>
      <c r="E475">
        <v>1.7799392988596128</v>
      </c>
      <c r="F475">
        <v>0.55158910286602747</v>
      </c>
      <c r="G475" s="166">
        <v>39.617402059137142</v>
      </c>
    </row>
    <row r="476" spans="1:7" x14ac:dyDescent="0.25">
      <c r="A476">
        <v>27</v>
      </c>
      <c r="B476">
        <v>5.4999999999999993E-2</v>
      </c>
      <c r="C476">
        <v>0.3</v>
      </c>
      <c r="D476">
        <v>4.2996182605774997</v>
      </c>
      <c r="E476">
        <v>1.7667613049848334</v>
      </c>
      <c r="F476">
        <v>0.54750534685051588</v>
      </c>
      <c r="G476" s="166">
        <v>39.327739675059945</v>
      </c>
    </row>
    <row r="477" spans="1:7" x14ac:dyDescent="0.25">
      <c r="A477">
        <v>26</v>
      </c>
      <c r="B477">
        <v>5.4999999999999993E-2</v>
      </c>
      <c r="C477">
        <v>0.3</v>
      </c>
      <c r="D477">
        <v>4.2649469055678511</v>
      </c>
      <c r="E477">
        <v>1.7525144568438984</v>
      </c>
      <c r="F477">
        <v>0.54309036135648148</v>
      </c>
      <c r="G477" s="166">
        <v>39.031009076432248</v>
      </c>
    </row>
    <row r="478" spans="1:7" x14ac:dyDescent="0.25">
      <c r="A478">
        <v>25</v>
      </c>
      <c r="B478">
        <v>5.4999999999999993E-2</v>
      </c>
      <c r="C478">
        <v>0.3</v>
      </c>
      <c r="D478">
        <v>4.229198465856709</v>
      </c>
      <c r="E478">
        <v>1.7378250225342708</v>
      </c>
      <c r="F478">
        <v>0.53853822191124978</v>
      </c>
      <c r="G478" s="166">
        <v>38.737028245637184</v>
      </c>
    </row>
    <row r="479" spans="1:7" x14ac:dyDescent="0.25">
      <c r="A479">
        <v>24</v>
      </c>
      <c r="B479">
        <v>5.4999999999999993E-2</v>
      </c>
      <c r="C479">
        <v>0.3</v>
      </c>
      <c r="D479">
        <v>4.1905065437261415</v>
      </c>
      <c r="E479">
        <v>1.721926078327398</v>
      </c>
      <c r="F479">
        <v>0.5336112649205228</v>
      </c>
      <c r="G479" s="166">
        <v>38.403728752073413</v>
      </c>
    </row>
    <row r="480" spans="1:7" x14ac:dyDescent="0.25">
      <c r="A480">
        <v>23</v>
      </c>
      <c r="B480">
        <v>5.4999999999999993E-2</v>
      </c>
      <c r="C480">
        <v>0.3</v>
      </c>
      <c r="D480">
        <v>4.1500089724274645</v>
      </c>
      <c r="E480">
        <v>1.7052851726515632</v>
      </c>
      <c r="F480">
        <v>0.52845437994220201</v>
      </c>
      <c r="G480" s="166">
        <v>38.082140444499622</v>
      </c>
    </row>
    <row r="481" spans="1:7" x14ac:dyDescent="0.25">
      <c r="A481">
        <v>22</v>
      </c>
      <c r="B481">
        <v>5.4999999999999993E-2</v>
      </c>
      <c r="C481">
        <v>0.3</v>
      </c>
      <c r="D481">
        <v>4.1061048833113212</v>
      </c>
      <c r="E481">
        <v>1.6872444906467869</v>
      </c>
      <c r="F481">
        <v>0.52286371535690901</v>
      </c>
      <c r="G481" s="166">
        <v>37.729416126375497</v>
      </c>
    </row>
    <row r="482" spans="1:7" x14ac:dyDescent="0.25">
      <c r="A482">
        <v>21</v>
      </c>
      <c r="B482">
        <v>5.4999999999999993E-2</v>
      </c>
      <c r="C482">
        <v>0.3</v>
      </c>
      <c r="D482">
        <v>4.0597566542140795</v>
      </c>
      <c r="E482">
        <v>1.6681994841460053</v>
      </c>
      <c r="F482">
        <v>0.51696181855819556</v>
      </c>
      <c r="G482" s="166">
        <v>37.382391959818349</v>
      </c>
    </row>
    <row r="483" spans="1:7" x14ac:dyDescent="0.25">
      <c r="A483">
        <v>20</v>
      </c>
      <c r="B483">
        <v>5.4999999999999993E-2</v>
      </c>
      <c r="C483">
        <v>0.3</v>
      </c>
      <c r="D483">
        <v>4.0092362285199226</v>
      </c>
      <c r="E483">
        <v>1.6474400753291374</v>
      </c>
      <c r="F483">
        <v>0.51052864204893955</v>
      </c>
      <c r="G483" s="166">
        <v>37.003549818900694</v>
      </c>
    </row>
    <row r="484" spans="1:7" x14ac:dyDescent="0.25">
      <c r="A484">
        <v>19</v>
      </c>
      <c r="B484">
        <v>5.4999999999999993E-2</v>
      </c>
      <c r="C484">
        <v>0.3</v>
      </c>
      <c r="D484">
        <v>3.9557979675951445</v>
      </c>
      <c r="E484">
        <v>1.6254816953321884</v>
      </c>
      <c r="F484">
        <v>0.50372391385923754</v>
      </c>
      <c r="G484" s="166">
        <v>36.624088508293191</v>
      </c>
    </row>
    <row r="485" spans="1:7" x14ac:dyDescent="0.25">
      <c r="A485">
        <v>18</v>
      </c>
      <c r="B485">
        <v>5.4999999999999993E-2</v>
      </c>
      <c r="C485">
        <v>0.3</v>
      </c>
      <c r="D485">
        <v>3.8971324416930275</v>
      </c>
      <c r="E485">
        <v>1.6013753736034022</v>
      </c>
      <c r="F485">
        <v>0.49625355552493927</v>
      </c>
      <c r="G485" s="166">
        <v>36.193950362755601</v>
      </c>
    </row>
    <row r="486" spans="1:7" x14ac:dyDescent="0.25">
      <c r="A486">
        <v>17</v>
      </c>
      <c r="B486">
        <v>5.4999999999999993E-2</v>
      </c>
      <c r="C486">
        <v>0.3</v>
      </c>
      <c r="D486">
        <v>3.8320325289092563</v>
      </c>
      <c r="E486">
        <v>1.5746250902308485</v>
      </c>
      <c r="F486">
        <v>0.48796385440067486</v>
      </c>
      <c r="G486" s="166">
        <v>35.607945707139386</v>
      </c>
    </row>
    <row r="487" spans="1:7" x14ac:dyDescent="0.25">
      <c r="A487">
        <v>16</v>
      </c>
      <c r="B487">
        <v>5.4999999999999993E-2</v>
      </c>
      <c r="C487">
        <v>0.3</v>
      </c>
      <c r="D487">
        <v>3.7590765210171013</v>
      </c>
      <c r="E487">
        <v>1.5446466493790518</v>
      </c>
      <c r="F487">
        <v>0.47867377282016305</v>
      </c>
      <c r="G487" s="166">
        <v>35.015090214072075</v>
      </c>
    </row>
    <row r="488" spans="1:7" x14ac:dyDescent="0.25">
      <c r="A488">
        <v>15</v>
      </c>
      <c r="B488">
        <v>5.4999999999999993E-2</v>
      </c>
      <c r="C488">
        <v>0.3</v>
      </c>
      <c r="D488">
        <v>3.6776044486937529</v>
      </c>
      <c r="E488">
        <v>1.511168862260694</v>
      </c>
      <c r="F488">
        <v>0.46829927152431222</v>
      </c>
      <c r="G488" s="166">
        <v>34.410186162499876</v>
      </c>
    </row>
    <row r="489" spans="1:7" x14ac:dyDescent="0.25">
      <c r="A489">
        <v>14</v>
      </c>
      <c r="B489">
        <v>5.4999999999999993E-2</v>
      </c>
      <c r="C489">
        <v>0.3</v>
      </c>
      <c r="D489">
        <v>3.5864271063505315</v>
      </c>
      <c r="E489">
        <v>1.4737030709786274</v>
      </c>
      <c r="F489">
        <v>0.4566889192978732</v>
      </c>
      <c r="G489" s="166">
        <v>33.795925912169302</v>
      </c>
    </row>
    <row r="490" spans="1:7" x14ac:dyDescent="0.25">
      <c r="A490">
        <v>13</v>
      </c>
      <c r="B490">
        <v>5.4999999999999993E-2</v>
      </c>
      <c r="C490">
        <v>0.3</v>
      </c>
      <c r="D490">
        <v>3.4821113453900865</v>
      </c>
      <c r="E490">
        <v>1.4308385563181543</v>
      </c>
      <c r="F490">
        <v>0.44340554542017624</v>
      </c>
      <c r="G490" s="166">
        <v>33.195292562248028</v>
      </c>
    </row>
    <row r="491" spans="1:7" x14ac:dyDescent="0.25">
      <c r="A491">
        <v>12</v>
      </c>
      <c r="B491">
        <v>5.4999999999999993E-2</v>
      </c>
      <c r="C491">
        <v>0.3</v>
      </c>
      <c r="D491">
        <v>3.364166051547274</v>
      </c>
      <c r="E491">
        <v>1.3823735139265634</v>
      </c>
      <c r="F491">
        <v>0.4283866123193289</v>
      </c>
      <c r="G491" s="166">
        <v>32.598256313554884</v>
      </c>
    </row>
    <row r="492" spans="1:7" x14ac:dyDescent="0.25">
      <c r="A492">
        <v>11</v>
      </c>
      <c r="B492">
        <v>5.4999999999999993E-2</v>
      </c>
      <c r="C492">
        <v>0.3</v>
      </c>
      <c r="D492">
        <v>3.2290010838238641</v>
      </c>
      <c r="E492">
        <v>1.326832714653102</v>
      </c>
      <c r="F492">
        <v>0.41117495815598826</v>
      </c>
      <c r="G492" s="166">
        <v>32.020621309394365</v>
      </c>
    </row>
    <row r="493" spans="1:7" x14ac:dyDescent="0.25">
      <c r="A493">
        <v>10</v>
      </c>
      <c r="B493">
        <v>5.4999999999999993E-2</v>
      </c>
      <c r="C493">
        <v>0.3</v>
      </c>
      <c r="D493">
        <v>3.0730578513786875</v>
      </c>
      <c r="E493">
        <v>1.2627538936599592</v>
      </c>
      <c r="F493">
        <v>0.3913174386287967</v>
      </c>
      <c r="G493" s="166">
        <v>31.482580658711836</v>
      </c>
    </row>
    <row r="494" spans="1:7" x14ac:dyDescent="0.25">
      <c r="A494">
        <v>9</v>
      </c>
      <c r="B494">
        <v>5.4999999999999993E-2</v>
      </c>
      <c r="C494">
        <v>0.3</v>
      </c>
      <c r="D494">
        <v>2.8902550858100211</v>
      </c>
      <c r="E494">
        <v>1.1876381896421901</v>
      </c>
      <c r="F494">
        <v>0.36803967639451329</v>
      </c>
      <c r="G494" s="166">
        <v>31.034350465700253</v>
      </c>
    </row>
    <row r="495" spans="1:7" x14ac:dyDescent="0.25">
      <c r="A495">
        <v>8</v>
      </c>
      <c r="B495">
        <v>5.4999999999999993E-2</v>
      </c>
      <c r="C495">
        <v>0.3</v>
      </c>
      <c r="D495">
        <v>2.6737008278909569</v>
      </c>
      <c r="E495">
        <v>1.0986536193539156</v>
      </c>
      <c r="F495">
        <v>0.34046406225661807</v>
      </c>
      <c r="G495" s="166">
        <v>30.736896832340978</v>
      </c>
    </row>
    <row r="496" spans="1:7" x14ac:dyDescent="0.25">
      <c r="A496">
        <v>7</v>
      </c>
      <c r="B496">
        <v>5.4999999999999993E-2</v>
      </c>
      <c r="C496">
        <v>0.3</v>
      </c>
      <c r="D496">
        <v>2.4118517341142014</v>
      </c>
      <c r="E496">
        <v>0.99105689364646177</v>
      </c>
      <c r="F496">
        <v>0.30712068844475787</v>
      </c>
      <c r="G496" s="166">
        <v>30.747698324903354</v>
      </c>
    </row>
    <row r="497" spans="1:7" x14ac:dyDescent="0.25">
      <c r="A497">
        <v>6</v>
      </c>
      <c r="B497">
        <v>5.4999999999999993E-2</v>
      </c>
      <c r="C497">
        <v>0.3</v>
      </c>
      <c r="D497">
        <v>2.0940986501727017</v>
      </c>
      <c r="E497">
        <v>0.8604885921777552</v>
      </c>
      <c r="F497">
        <v>0.26665860509393385</v>
      </c>
      <c r="G497" s="166">
        <v>30.797537296329644</v>
      </c>
    </row>
    <row r="498" spans="1:7" x14ac:dyDescent="0.25">
      <c r="A498">
        <v>5</v>
      </c>
      <c r="B498">
        <v>5.4999999999999993E-2</v>
      </c>
      <c r="C498">
        <v>0.3</v>
      </c>
      <c r="D498">
        <v>1.7609526398907003</v>
      </c>
      <c r="E498">
        <v>0.72359516485352005</v>
      </c>
      <c r="F498">
        <v>0.22423641529543437</v>
      </c>
      <c r="G498" s="166">
        <v>30.609391924510209</v>
      </c>
    </row>
    <row r="499" spans="1:7" x14ac:dyDescent="0.25">
      <c r="A499">
        <v>4</v>
      </c>
      <c r="B499">
        <v>5.4999999999999993E-2</v>
      </c>
      <c r="C499">
        <v>0.3</v>
      </c>
      <c r="D499">
        <v>1.4275116627502127</v>
      </c>
      <c r="E499">
        <v>0.58658053234309349</v>
      </c>
      <c r="F499">
        <v>0.18177666496891187</v>
      </c>
      <c r="G499" s="166">
        <v>30.33554556933349</v>
      </c>
    </row>
    <row r="500" spans="1:7" x14ac:dyDescent="0.25">
      <c r="A500">
        <v>3</v>
      </c>
      <c r="B500">
        <v>5.4999999999999993E-2</v>
      </c>
      <c r="C500">
        <v>0.3</v>
      </c>
      <c r="D500">
        <v>1.0933951875808032</v>
      </c>
      <c r="E500">
        <v>0.44928833012606401</v>
      </c>
      <c r="F500">
        <v>0.13923089798690799</v>
      </c>
      <c r="G500" s="166">
        <v>29.900977955690514</v>
      </c>
    </row>
    <row r="501" spans="1:7" x14ac:dyDescent="0.25">
      <c r="A501">
        <v>2</v>
      </c>
      <c r="B501">
        <v>5.4999999999999993E-2</v>
      </c>
      <c r="C501">
        <v>0.3</v>
      </c>
      <c r="D501">
        <v>0.75776551376255374</v>
      </c>
      <c r="E501">
        <v>0.31137433763429351</v>
      </c>
      <c r="F501">
        <v>9.6492443119404275E-2</v>
      </c>
      <c r="G501" s="166">
        <v>29.105039494817632</v>
      </c>
    </row>
    <row r="502" spans="1:7" x14ac:dyDescent="0.25">
      <c r="A502">
        <v>1</v>
      </c>
      <c r="B502">
        <v>5.4999999999999993E-2</v>
      </c>
      <c r="C502">
        <v>0.3</v>
      </c>
      <c r="D502">
        <v>0.41724284973742615</v>
      </c>
      <c r="E502">
        <v>0.17144976065821099</v>
      </c>
      <c r="F502">
        <v>5.3130924031312511E-2</v>
      </c>
      <c r="G502" s="166">
        <v>27.162780685526194</v>
      </c>
    </row>
    <row r="503" spans="1:7" x14ac:dyDescent="0.25">
      <c r="A503">
        <v>50</v>
      </c>
      <c r="B503">
        <v>4.9999999999999996E-2</v>
      </c>
      <c r="C503">
        <v>0.3</v>
      </c>
      <c r="D503">
        <v>4.7502082081157591</v>
      </c>
      <c r="E503">
        <v>1.951913761663352</v>
      </c>
      <c r="F503">
        <v>0.60488262793992009</v>
      </c>
      <c r="G503" s="166">
        <v>43.954364953707646</v>
      </c>
    </row>
    <row r="504" spans="1:7" x14ac:dyDescent="0.25">
      <c r="A504">
        <v>49</v>
      </c>
      <c r="B504">
        <v>4.9999999999999996E-2</v>
      </c>
      <c r="C504">
        <v>0.3</v>
      </c>
      <c r="D504">
        <v>4.7373173449684396</v>
      </c>
      <c r="E504">
        <v>1.9466167616004952</v>
      </c>
      <c r="F504">
        <v>0.60324112953914633</v>
      </c>
      <c r="G504" s="166">
        <v>43.815964345653313</v>
      </c>
    </row>
    <row r="505" spans="1:7" x14ac:dyDescent="0.25">
      <c r="A505">
        <v>48</v>
      </c>
      <c r="B505">
        <v>4.9999999999999996E-2</v>
      </c>
      <c r="C505">
        <v>0.3</v>
      </c>
      <c r="D505">
        <v>4.7243039008321697</v>
      </c>
      <c r="E505">
        <v>1.9412693916362009</v>
      </c>
      <c r="F505">
        <v>0.60158402190452775</v>
      </c>
      <c r="G505" s="166">
        <v>43.636469445045002</v>
      </c>
    </row>
    <row r="506" spans="1:7" x14ac:dyDescent="0.25">
      <c r="A506">
        <v>47</v>
      </c>
      <c r="B506">
        <v>4.9999999999999996E-2</v>
      </c>
      <c r="C506">
        <v>0.3</v>
      </c>
      <c r="D506">
        <v>4.7098329169093898</v>
      </c>
      <c r="E506">
        <v>1.935323102247154</v>
      </c>
      <c r="F506">
        <v>0.59974131387982854</v>
      </c>
      <c r="G506" s="166">
        <v>43.471148639956731</v>
      </c>
    </row>
    <row r="507" spans="1:7" x14ac:dyDescent="0.25">
      <c r="A507">
        <v>46</v>
      </c>
      <c r="B507">
        <v>4.9999999999999996E-2</v>
      </c>
      <c r="C507">
        <v>0.3</v>
      </c>
      <c r="D507">
        <v>4.6952729185157196</v>
      </c>
      <c r="E507">
        <v>1.9293402358149321</v>
      </c>
      <c r="F507">
        <v>0.59788727091890792</v>
      </c>
      <c r="G507" s="166">
        <v>43.30573500702225</v>
      </c>
    </row>
    <row r="508" spans="1:7" x14ac:dyDescent="0.25">
      <c r="A508">
        <v>45</v>
      </c>
      <c r="B508">
        <v>4.9999999999999996E-2</v>
      </c>
      <c r="C508">
        <v>0.3</v>
      </c>
      <c r="D508">
        <v>4.6804301597721976</v>
      </c>
      <c r="E508">
        <v>1.9232411799876461</v>
      </c>
      <c r="F508">
        <v>0.59599722178394143</v>
      </c>
      <c r="G508" s="166">
        <v>43.141752195292433</v>
      </c>
    </row>
    <row r="509" spans="1:7" x14ac:dyDescent="0.25">
      <c r="A509">
        <v>44</v>
      </c>
      <c r="B509">
        <v>4.9999999999999996E-2</v>
      </c>
      <c r="C509">
        <v>0.3</v>
      </c>
      <c r="D509">
        <v>4.6646885939258729</v>
      </c>
      <c r="E509">
        <v>1.9167727942539268</v>
      </c>
      <c r="F509">
        <v>0.59399272023372596</v>
      </c>
      <c r="G509" s="166">
        <v>42.984540352081609</v>
      </c>
    </row>
    <row r="510" spans="1:7" x14ac:dyDescent="0.25">
      <c r="A510">
        <v>43</v>
      </c>
      <c r="B510">
        <v>4.9999999999999996E-2</v>
      </c>
      <c r="C510">
        <v>0.3</v>
      </c>
      <c r="D510">
        <v>4.6488505207596189</v>
      </c>
      <c r="E510">
        <v>1.9102647525814327</v>
      </c>
      <c r="F510">
        <v>0.59197592962190804</v>
      </c>
      <c r="G510" s="166">
        <v>42.79614276058507</v>
      </c>
    </row>
    <row r="511" spans="1:7" x14ac:dyDescent="0.25">
      <c r="A511">
        <v>42</v>
      </c>
      <c r="B511">
        <v>4.9999999999999996E-2</v>
      </c>
      <c r="C511">
        <v>0.3</v>
      </c>
      <c r="D511">
        <v>4.6317870798992633</v>
      </c>
      <c r="E511">
        <v>1.9032531935976067</v>
      </c>
      <c r="F511">
        <v>0.58980310297997784</v>
      </c>
      <c r="G511" s="166">
        <v>42.603364897157945</v>
      </c>
    </row>
    <row r="512" spans="1:7" x14ac:dyDescent="0.25">
      <c r="A512">
        <v>41</v>
      </c>
      <c r="B512">
        <v>4.9999999999999996E-2</v>
      </c>
      <c r="C512">
        <v>0.3</v>
      </c>
      <c r="D512">
        <v>4.6141634943208532</v>
      </c>
      <c r="E512">
        <v>1.8960114648747315</v>
      </c>
      <c r="F512">
        <v>0.58755894855740332</v>
      </c>
      <c r="G512" s="166">
        <v>42.41493938813727</v>
      </c>
    </row>
    <row r="513" spans="1:7" x14ac:dyDescent="0.25">
      <c r="A513">
        <v>40</v>
      </c>
      <c r="B513">
        <v>4.9999999999999996E-2</v>
      </c>
      <c r="C513">
        <v>0.3</v>
      </c>
      <c r="D513">
        <v>4.5961808466464662</v>
      </c>
      <c r="E513">
        <v>1.8886221935146237</v>
      </c>
      <c r="F513">
        <v>0.58526907183915411</v>
      </c>
      <c r="G513" s="166">
        <v>42.228190908042222</v>
      </c>
    </row>
    <row r="514" spans="1:7" x14ac:dyDescent="0.25">
      <c r="A514">
        <v>39</v>
      </c>
      <c r="B514">
        <v>4.9999999999999996E-2</v>
      </c>
      <c r="C514">
        <v>0.3</v>
      </c>
      <c r="D514">
        <v>4.5772093192362036</v>
      </c>
      <c r="E514">
        <v>1.8808265803942137</v>
      </c>
      <c r="F514">
        <v>0.58285327302504142</v>
      </c>
      <c r="G514" s="166">
        <v>42.042186675967265</v>
      </c>
    </row>
    <row r="515" spans="1:7" x14ac:dyDescent="0.25">
      <c r="A515">
        <v>38</v>
      </c>
      <c r="B515">
        <v>4.9999999999999996E-2</v>
      </c>
      <c r="C515">
        <v>0.3</v>
      </c>
      <c r="D515">
        <v>4.557623432408672</v>
      </c>
      <c r="E515">
        <v>1.8727785201075671</v>
      </c>
      <c r="F515">
        <v>0.58035924283189533</v>
      </c>
      <c r="G515" s="166">
        <v>41.81760436837174</v>
      </c>
    </row>
    <row r="516" spans="1:7" x14ac:dyDescent="0.25">
      <c r="A516">
        <v>37</v>
      </c>
      <c r="B516">
        <v>4.9999999999999996E-2</v>
      </c>
      <c r="C516">
        <v>0.3</v>
      </c>
      <c r="D516">
        <v>4.5365732664407465</v>
      </c>
      <c r="E516">
        <v>1.8641287711201664</v>
      </c>
      <c r="F516">
        <v>0.57767875407195091</v>
      </c>
      <c r="G516" s="166">
        <v>41.606072541435935</v>
      </c>
    </row>
    <row r="517" spans="1:7" x14ac:dyDescent="0.25">
      <c r="A517">
        <v>36</v>
      </c>
      <c r="B517">
        <v>4.9999999999999996E-2</v>
      </c>
      <c r="C517">
        <v>0.3</v>
      </c>
      <c r="D517">
        <v>4.5153945643362743</v>
      </c>
      <c r="E517">
        <v>1.8554262051944752</v>
      </c>
      <c r="F517">
        <v>0.57498189776080588</v>
      </c>
      <c r="G517" s="166">
        <v>41.393686589823815</v>
      </c>
    </row>
    <row r="518" spans="1:7" x14ac:dyDescent="0.25">
      <c r="A518">
        <v>35</v>
      </c>
      <c r="B518">
        <v>4.9999999999999996E-2</v>
      </c>
      <c r="C518">
        <v>0.3</v>
      </c>
      <c r="D518">
        <v>4.492816589304554</v>
      </c>
      <c r="E518">
        <v>1.8461486623491716</v>
      </c>
      <c r="F518">
        <v>0.5721068606524502</v>
      </c>
      <c r="G518" s="166">
        <v>41.177718028070274</v>
      </c>
    </row>
    <row r="519" spans="1:7" x14ac:dyDescent="0.25">
      <c r="A519">
        <v>34</v>
      </c>
      <c r="B519">
        <v>4.9999999999999996E-2</v>
      </c>
      <c r="C519">
        <v>0.3</v>
      </c>
      <c r="D519">
        <v>4.4691046044218554</v>
      </c>
      <c r="E519">
        <v>1.8364051421536112</v>
      </c>
      <c r="F519">
        <v>0.5690874208508403</v>
      </c>
      <c r="G519" s="166">
        <v>40.932384087818114</v>
      </c>
    </row>
    <row r="520" spans="1:7" x14ac:dyDescent="0.25">
      <c r="A520">
        <v>33</v>
      </c>
      <c r="B520">
        <v>4.9999999999999996E-2</v>
      </c>
      <c r="C520">
        <v>0.3</v>
      </c>
      <c r="D520">
        <v>4.4442449610959347</v>
      </c>
      <c r="E520">
        <v>1.8261900362483574</v>
      </c>
      <c r="F520">
        <v>0.56592184036976978</v>
      </c>
      <c r="G520" s="166">
        <v>40.696108907328529</v>
      </c>
    </row>
    <row r="521" spans="1:7" x14ac:dyDescent="0.25">
      <c r="A521">
        <v>32</v>
      </c>
      <c r="B521">
        <v>4.9999999999999996E-2</v>
      </c>
      <c r="C521">
        <v>0.3</v>
      </c>
      <c r="D521">
        <v>4.418529462386779</v>
      </c>
      <c r="E521">
        <v>1.8156232497793603</v>
      </c>
      <c r="F521">
        <v>0.56264727686507876</v>
      </c>
      <c r="G521" s="166">
        <v>40.464629141261049</v>
      </c>
    </row>
    <row r="522" spans="1:7" x14ac:dyDescent="0.25">
      <c r="A522">
        <v>31</v>
      </c>
      <c r="B522">
        <v>4.9999999999999996E-2</v>
      </c>
      <c r="C522">
        <v>0.3</v>
      </c>
      <c r="D522">
        <v>4.3913376469793208</v>
      </c>
      <c r="E522">
        <v>1.804449828242227</v>
      </c>
      <c r="F522">
        <v>0.55918472195348157</v>
      </c>
      <c r="G522" s="166">
        <v>40.192596477771581</v>
      </c>
    </row>
    <row r="523" spans="1:7" x14ac:dyDescent="0.25">
      <c r="A523">
        <v>30</v>
      </c>
      <c r="B523">
        <v>4.9999999999999996E-2</v>
      </c>
      <c r="C523">
        <v>0.3</v>
      </c>
      <c r="D523">
        <v>4.3622647296799508</v>
      </c>
      <c r="E523">
        <v>1.792503440866746</v>
      </c>
      <c r="F523">
        <v>0.55548263104557616</v>
      </c>
      <c r="G523" s="166">
        <v>39.932622345715465</v>
      </c>
    </row>
    <row r="524" spans="1:7" x14ac:dyDescent="0.25">
      <c r="A524">
        <v>29</v>
      </c>
      <c r="B524">
        <v>4.9999999999999996E-2</v>
      </c>
      <c r="C524">
        <v>0.3</v>
      </c>
      <c r="D524">
        <v>4.3323651611778207</v>
      </c>
      <c r="E524">
        <v>1.7802173732524058</v>
      </c>
      <c r="F524">
        <v>0.5516752759197654</v>
      </c>
      <c r="G524" s="166">
        <v>39.673882065706522</v>
      </c>
    </row>
    <row r="525" spans="1:7" x14ac:dyDescent="0.25">
      <c r="A525">
        <v>28</v>
      </c>
      <c r="B525">
        <v>4.9999999999999996E-2</v>
      </c>
      <c r="C525">
        <v>0.3</v>
      </c>
      <c r="D525">
        <v>4.3002546721385411</v>
      </c>
      <c r="E525">
        <v>1.7670228136239614</v>
      </c>
      <c r="F525">
        <v>0.54758638630828882</v>
      </c>
      <c r="G525" s="166">
        <v>39.377068053245758</v>
      </c>
    </row>
    <row r="526" spans="1:7" x14ac:dyDescent="0.25">
      <c r="A526">
        <v>27</v>
      </c>
      <c r="B526">
        <v>4.9999999999999996E-2</v>
      </c>
      <c r="C526">
        <v>0.3</v>
      </c>
      <c r="D526">
        <v>4.2665427397433824</v>
      </c>
      <c r="E526">
        <v>1.7531702029821898</v>
      </c>
      <c r="F526">
        <v>0.54329357189538008</v>
      </c>
      <c r="G526" s="166">
        <v>39.091940299163454</v>
      </c>
    </row>
    <row r="527" spans="1:7" x14ac:dyDescent="0.25">
      <c r="A527">
        <v>26</v>
      </c>
      <c r="B527">
        <v>4.9999999999999996E-2</v>
      </c>
      <c r="C527">
        <v>0.3</v>
      </c>
      <c r="D527">
        <v>4.2311480323188615</v>
      </c>
      <c r="E527">
        <v>1.7386261212314289</v>
      </c>
      <c r="F527">
        <v>0.53878647605786911</v>
      </c>
      <c r="G527" s="166">
        <v>38.786330772679854</v>
      </c>
    </row>
    <row r="528" spans="1:7" x14ac:dyDescent="0.25">
      <c r="A528">
        <v>25</v>
      </c>
      <c r="B528">
        <v>4.9999999999999996E-2</v>
      </c>
      <c r="C528">
        <v>0.3</v>
      </c>
      <c r="D528">
        <v>4.1926021277495336</v>
      </c>
      <c r="E528">
        <v>1.7227871772760697</v>
      </c>
      <c r="F528">
        <v>0.53387811267026408</v>
      </c>
      <c r="G528" s="166">
        <v>38.476987820007778</v>
      </c>
    </row>
    <row r="529" spans="1:7" x14ac:dyDescent="0.25">
      <c r="A529">
        <v>24</v>
      </c>
      <c r="B529">
        <v>4.9999999999999996E-2</v>
      </c>
      <c r="C529">
        <v>0.3</v>
      </c>
      <c r="D529">
        <v>4.1527528252982222</v>
      </c>
      <c r="E529">
        <v>1.7064126525311318</v>
      </c>
      <c r="F529">
        <v>0.52880377703437775</v>
      </c>
      <c r="G529" s="166">
        <v>38.156272431015921</v>
      </c>
    </row>
    <row r="530" spans="1:7" x14ac:dyDescent="0.25">
      <c r="A530">
        <v>23</v>
      </c>
      <c r="B530">
        <v>4.9999999999999996E-2</v>
      </c>
      <c r="C530">
        <v>0.3</v>
      </c>
      <c r="D530">
        <v>4.1092358774717264</v>
      </c>
      <c r="E530">
        <v>1.6885310512187932</v>
      </c>
      <c r="F530">
        <v>0.52326241029675913</v>
      </c>
      <c r="G530" s="166">
        <v>37.819078793761285</v>
      </c>
    </row>
    <row r="531" spans="1:7" x14ac:dyDescent="0.25">
      <c r="A531">
        <v>22</v>
      </c>
      <c r="B531">
        <v>4.9999999999999996E-2</v>
      </c>
      <c r="C531">
        <v>0.3</v>
      </c>
      <c r="D531">
        <v>4.0638645012341215</v>
      </c>
      <c r="E531">
        <v>1.6698874445001488</v>
      </c>
      <c r="F531">
        <v>0.51748490411398496</v>
      </c>
      <c r="G531" s="166">
        <v>37.472666571246187</v>
      </c>
    </row>
    <row r="532" spans="1:7" x14ac:dyDescent="0.25">
      <c r="A532">
        <v>21</v>
      </c>
      <c r="B532">
        <v>4.9999999999999996E-2</v>
      </c>
      <c r="C532">
        <v>0.3</v>
      </c>
      <c r="D532">
        <v>4.0141418108086864</v>
      </c>
      <c r="E532">
        <v>1.6494558340409451</v>
      </c>
      <c r="F532">
        <v>0.51115330972168138</v>
      </c>
      <c r="G532" s="166">
        <v>37.114294728080466</v>
      </c>
    </row>
    <row r="533" spans="1:7" x14ac:dyDescent="0.25">
      <c r="A533">
        <v>20</v>
      </c>
      <c r="B533">
        <v>4.9999999999999996E-2</v>
      </c>
      <c r="C533">
        <v>0.3</v>
      </c>
      <c r="D533">
        <v>3.9618425487259121</v>
      </c>
      <c r="E533">
        <v>1.6279654814265492</v>
      </c>
      <c r="F533">
        <v>0.50449361951401872</v>
      </c>
      <c r="G533" s="166">
        <v>36.734931627530344</v>
      </c>
    </row>
    <row r="534" spans="1:7" x14ac:dyDescent="0.25">
      <c r="A534">
        <v>19</v>
      </c>
      <c r="B534">
        <v>4.9999999999999996E-2</v>
      </c>
      <c r="C534">
        <v>0.3</v>
      </c>
      <c r="D534">
        <v>3.9042280245738761</v>
      </c>
      <c r="E534">
        <v>1.6042910280895546</v>
      </c>
      <c r="F534">
        <v>0.49715709377667316</v>
      </c>
      <c r="G534" s="166">
        <v>36.250028076338332</v>
      </c>
    </row>
    <row r="535" spans="1:7" x14ac:dyDescent="0.25">
      <c r="A535">
        <v>18</v>
      </c>
      <c r="B535">
        <v>4.9999999999999996E-2</v>
      </c>
      <c r="C535">
        <v>0.3</v>
      </c>
      <c r="D535">
        <v>3.8397721776397171</v>
      </c>
      <c r="E535">
        <v>1.5778053985890412</v>
      </c>
      <c r="F535">
        <v>0.48894940679297094</v>
      </c>
      <c r="G535" s="166">
        <v>35.692412554816158</v>
      </c>
    </row>
    <row r="536" spans="1:7" x14ac:dyDescent="0.25">
      <c r="A536">
        <v>17</v>
      </c>
      <c r="B536">
        <v>4.9999999999999996E-2</v>
      </c>
      <c r="C536">
        <v>0.3</v>
      </c>
      <c r="D536">
        <v>3.7675167866342982</v>
      </c>
      <c r="E536">
        <v>1.5481148490638894</v>
      </c>
      <c r="F536">
        <v>0.47974854045630966</v>
      </c>
      <c r="G536" s="166">
        <v>35.132345985302727</v>
      </c>
    </row>
    <row r="537" spans="1:7" x14ac:dyDescent="0.25">
      <c r="A537">
        <v>16</v>
      </c>
      <c r="B537">
        <v>4.9999999999999996E-2</v>
      </c>
      <c r="C537">
        <v>0.3</v>
      </c>
      <c r="D537">
        <v>3.6866083845264859</v>
      </c>
      <c r="E537">
        <v>1.514868680350987</v>
      </c>
      <c r="F537">
        <v>0.46944581587135809</v>
      </c>
      <c r="G537" s="166">
        <v>34.56930292281384</v>
      </c>
    </row>
    <row r="538" spans="1:7" x14ac:dyDescent="0.25">
      <c r="A538">
        <v>15</v>
      </c>
      <c r="B538">
        <v>4.9999999999999996E-2</v>
      </c>
      <c r="C538">
        <v>0.3</v>
      </c>
      <c r="D538">
        <v>3.5959017441939776</v>
      </c>
      <c r="E538">
        <v>1.4775963057976407</v>
      </c>
      <c r="F538">
        <v>0.45789540195851347</v>
      </c>
      <c r="G538" s="166">
        <v>34.007324087773952</v>
      </c>
    </row>
    <row r="539" spans="1:7" x14ac:dyDescent="0.25">
      <c r="A539">
        <v>14</v>
      </c>
      <c r="B539">
        <v>4.9999999999999996E-2</v>
      </c>
      <c r="C539">
        <v>0.3</v>
      </c>
      <c r="D539">
        <v>3.4941511745002383</v>
      </c>
      <c r="E539">
        <v>1.4357858569623723</v>
      </c>
      <c r="F539">
        <v>0.44493867473851934</v>
      </c>
      <c r="G539" s="166">
        <v>33.438103296604098</v>
      </c>
    </row>
    <row r="540" spans="1:7" x14ac:dyDescent="0.25">
      <c r="A540">
        <v>13</v>
      </c>
      <c r="B540">
        <v>4.9999999999999996E-2</v>
      </c>
      <c r="C540">
        <v>0.3</v>
      </c>
      <c r="D540">
        <v>3.3781432032722147</v>
      </c>
      <c r="E540">
        <v>1.3881168821339098</v>
      </c>
      <c r="F540">
        <v>0.43016643667567028</v>
      </c>
      <c r="G540" s="166">
        <v>32.89244367326063</v>
      </c>
    </row>
    <row r="541" spans="1:7" x14ac:dyDescent="0.25">
      <c r="A541">
        <v>12</v>
      </c>
      <c r="B541">
        <v>4.9999999999999996E-2</v>
      </c>
      <c r="C541">
        <v>0.3</v>
      </c>
      <c r="D541">
        <v>3.2461606993377217</v>
      </c>
      <c r="E541">
        <v>1.3338837928793417</v>
      </c>
      <c r="F541">
        <v>0.41336003149840028</v>
      </c>
      <c r="G541" s="166">
        <v>32.367050991531684</v>
      </c>
    </row>
    <row r="542" spans="1:7" x14ac:dyDescent="0.25">
      <c r="A542">
        <v>11</v>
      </c>
      <c r="B542">
        <v>4.9999999999999996E-2</v>
      </c>
      <c r="C542">
        <v>0.3</v>
      </c>
      <c r="D542">
        <v>3.093933305384085</v>
      </c>
      <c r="E542">
        <v>1.2713318515449397</v>
      </c>
      <c r="F542">
        <v>0.39397567989423221</v>
      </c>
      <c r="G542" s="166">
        <v>31.898751659201693</v>
      </c>
    </row>
    <row r="543" spans="1:7" x14ac:dyDescent="0.25">
      <c r="A543">
        <v>10</v>
      </c>
      <c r="B543">
        <v>4.9999999999999996E-2</v>
      </c>
      <c r="C543">
        <v>0.3</v>
      </c>
      <c r="D543">
        <v>2.9168030396701128</v>
      </c>
      <c r="E543">
        <v>1.1985470412573644</v>
      </c>
      <c r="F543">
        <v>0.37142024318101419</v>
      </c>
      <c r="G543" s="166">
        <v>31.525190103406622</v>
      </c>
    </row>
    <row r="544" spans="1:7" x14ac:dyDescent="0.25">
      <c r="A544">
        <v>9</v>
      </c>
      <c r="B544">
        <v>4.9999999999999996E-2</v>
      </c>
      <c r="C544">
        <v>0.3</v>
      </c>
      <c r="D544">
        <v>2.7083199193713821</v>
      </c>
      <c r="E544">
        <v>1.1128789918252684</v>
      </c>
      <c r="F544">
        <v>0.34487239261060026</v>
      </c>
      <c r="G544" s="166">
        <v>31.315316015173686</v>
      </c>
    </row>
    <row r="545" spans="1:7" x14ac:dyDescent="0.25">
      <c r="A545">
        <v>8</v>
      </c>
      <c r="B545">
        <v>4.9999999999999996E-2</v>
      </c>
      <c r="C545">
        <v>0.3</v>
      </c>
      <c r="D545">
        <v>2.4592125478636615</v>
      </c>
      <c r="E545">
        <v>1.0105179825231987</v>
      </c>
      <c r="F545">
        <v>0.31315152587904166</v>
      </c>
      <c r="G545" s="166">
        <v>31.391205861507085</v>
      </c>
    </row>
    <row r="546" spans="1:7" x14ac:dyDescent="0.25">
      <c r="A546">
        <v>7</v>
      </c>
      <c r="B546">
        <v>4.9999999999999996E-2</v>
      </c>
      <c r="C546">
        <v>0.3</v>
      </c>
      <c r="D546">
        <v>2.1686032314171353</v>
      </c>
      <c r="E546">
        <v>0.89110335916618166</v>
      </c>
      <c r="F546">
        <v>0.27614587910851279</v>
      </c>
      <c r="G546" s="166">
        <v>31.310239684736377</v>
      </c>
    </row>
    <row r="547" spans="1:7" x14ac:dyDescent="0.25">
      <c r="A547">
        <v>6</v>
      </c>
      <c r="B547">
        <v>4.9999999999999996E-2</v>
      </c>
      <c r="C547">
        <v>0.3</v>
      </c>
      <c r="D547">
        <v>1.8716383292839696</v>
      </c>
      <c r="E547">
        <v>0.76907715445911184</v>
      </c>
      <c r="F547">
        <v>0.23833092394479313</v>
      </c>
      <c r="G547" s="166">
        <v>31.155461958612246</v>
      </c>
    </row>
    <row r="548" spans="1:7" x14ac:dyDescent="0.25">
      <c r="A548">
        <v>5</v>
      </c>
      <c r="B548">
        <v>4.9999999999999996E-2</v>
      </c>
      <c r="C548">
        <v>0.3</v>
      </c>
      <c r="D548">
        <v>1.5745835798670718</v>
      </c>
      <c r="E548">
        <v>0.64701403049674189</v>
      </c>
      <c r="F548">
        <v>0.20050452779602271</v>
      </c>
      <c r="G548" s="166">
        <v>30.942960540736337</v>
      </c>
    </row>
    <row r="549" spans="1:7" x14ac:dyDescent="0.25">
      <c r="A549">
        <v>4</v>
      </c>
      <c r="B549">
        <v>4.9999999999999996E-2</v>
      </c>
      <c r="C549">
        <v>0.3</v>
      </c>
      <c r="D549">
        <v>1.2772473792783516</v>
      </c>
      <c r="E549">
        <v>0.52483525509522488</v>
      </c>
      <c r="F549">
        <v>0.16264229218148787</v>
      </c>
      <c r="G549" s="166">
        <v>30.634365015346198</v>
      </c>
    </row>
    <row r="550" spans="1:7" x14ac:dyDescent="0.25">
      <c r="A550">
        <v>3</v>
      </c>
      <c r="B550">
        <v>4.9999999999999996E-2</v>
      </c>
      <c r="C550">
        <v>0.3</v>
      </c>
      <c r="D550">
        <v>0.9793074891117185</v>
      </c>
      <c r="E550">
        <v>0.40240841688397927</v>
      </c>
      <c r="F550">
        <v>0.1247031838653051</v>
      </c>
      <c r="G550" s="166">
        <v>30.146048176986646</v>
      </c>
    </row>
    <row r="551" spans="1:7" x14ac:dyDescent="0.25">
      <c r="A551">
        <v>2</v>
      </c>
      <c r="B551">
        <v>4.9999999999999996E-2</v>
      </c>
      <c r="C551">
        <v>0.3</v>
      </c>
      <c r="D551">
        <v>0.68002627371299373</v>
      </c>
      <c r="E551">
        <v>0.27943041311015626</v>
      </c>
      <c r="F551">
        <v>8.6593273703021459E-2</v>
      </c>
      <c r="G551" s="166">
        <v>29.25551236118638</v>
      </c>
    </row>
    <row r="552" spans="1:7" x14ac:dyDescent="0.25">
      <c r="A552">
        <v>1</v>
      </c>
      <c r="B552">
        <v>4.9999999999999996E-2</v>
      </c>
      <c r="C552">
        <v>0.3</v>
      </c>
      <c r="D552">
        <v>0.37612074056635691</v>
      </c>
      <c r="E552">
        <v>0.15455222537491617</v>
      </c>
      <c r="F552">
        <v>4.7894511568521682E-2</v>
      </c>
      <c r="G552" s="166">
        <v>27.112204236245738</v>
      </c>
    </row>
    <row r="553" spans="1:7" x14ac:dyDescent="0.25">
      <c r="A553">
        <v>50</v>
      </c>
      <c r="B553">
        <v>4.4999999999999998E-2</v>
      </c>
      <c r="C553">
        <v>0.3</v>
      </c>
      <c r="D553">
        <v>4.7364493121345568</v>
      </c>
      <c r="E553">
        <v>1.946260077185876</v>
      </c>
      <c r="F553">
        <v>0.60313059586173823</v>
      </c>
      <c r="G553" s="166">
        <v>43.799494850077913</v>
      </c>
    </row>
    <row r="554" spans="1:7" x14ac:dyDescent="0.25">
      <c r="A554">
        <v>49</v>
      </c>
      <c r="B554">
        <v>4.4999999999999998E-2</v>
      </c>
      <c r="C554">
        <v>0.3</v>
      </c>
      <c r="D554">
        <v>4.7227584742706288</v>
      </c>
      <c r="E554">
        <v>1.9406343585511336</v>
      </c>
      <c r="F554">
        <v>0.60138723017690709</v>
      </c>
      <c r="G554" s="166">
        <v>43.633726311270344</v>
      </c>
    </row>
    <row r="555" spans="1:7" x14ac:dyDescent="0.25">
      <c r="A555">
        <v>48</v>
      </c>
      <c r="B555">
        <v>4.4999999999999998E-2</v>
      </c>
      <c r="C555">
        <v>0.3</v>
      </c>
      <c r="D555">
        <v>4.7085254770236302</v>
      </c>
      <c r="E555">
        <v>1.9347858605529475</v>
      </c>
      <c r="F555">
        <v>0.59957482693034692</v>
      </c>
      <c r="G555" s="166">
        <v>43.472637881754899</v>
      </c>
    </row>
    <row r="556" spans="1:7" x14ac:dyDescent="0.25">
      <c r="A556">
        <v>47</v>
      </c>
      <c r="B556">
        <v>4.4999999999999998E-2</v>
      </c>
      <c r="C556">
        <v>0.3</v>
      </c>
      <c r="D556">
        <v>4.6942924797766326</v>
      </c>
      <c r="E556">
        <v>1.9289373625547614</v>
      </c>
      <c r="F556">
        <v>0.59776242368378674</v>
      </c>
      <c r="G556" s="166">
        <v>43.310572618697996</v>
      </c>
    </row>
    <row r="557" spans="1:7" x14ac:dyDescent="0.25">
      <c r="A557">
        <v>46</v>
      </c>
      <c r="B557">
        <v>4.4999999999999998E-2</v>
      </c>
      <c r="C557">
        <v>0.3</v>
      </c>
      <c r="D557">
        <v>4.6791013486191302</v>
      </c>
      <c r="E557">
        <v>1.9226951566003145</v>
      </c>
      <c r="F557">
        <v>0.59582801345725578</v>
      </c>
      <c r="G557" s="166">
        <v>43.155861053279935</v>
      </c>
    </row>
    <row r="558" spans="1:7" x14ac:dyDescent="0.25">
      <c r="A558">
        <v>45</v>
      </c>
      <c r="B558">
        <v>4.4999999999999998E-2</v>
      </c>
      <c r="C558">
        <v>0.3</v>
      </c>
      <c r="D558">
        <v>4.6636751970290344</v>
      </c>
      <c r="E558">
        <v>1.9163563781175592</v>
      </c>
      <c r="F558">
        <v>0.59386367616844504</v>
      </c>
      <c r="G558" s="166">
        <v>42.985690626528154</v>
      </c>
    </row>
    <row r="559" spans="1:7" x14ac:dyDescent="0.25">
      <c r="A559">
        <v>44</v>
      </c>
      <c r="B559">
        <v>4.4999999999999998E-2</v>
      </c>
      <c r="C559">
        <v>0.3</v>
      </c>
      <c r="D559">
        <v>4.6475864526854345</v>
      </c>
      <c r="E559">
        <v>1.909745332850427</v>
      </c>
      <c r="F559">
        <v>0.59181496555778523</v>
      </c>
      <c r="G559" s="166">
        <v>42.792805579398191</v>
      </c>
    </row>
    <row r="560" spans="1:7" x14ac:dyDescent="0.25">
      <c r="A560">
        <v>43</v>
      </c>
      <c r="B560">
        <v>4.4999999999999998E-2</v>
      </c>
      <c r="C560">
        <v>0.3</v>
      </c>
      <c r="D560">
        <v>4.6303999440102928</v>
      </c>
      <c r="E560">
        <v>1.9026832039229749</v>
      </c>
      <c r="F560">
        <v>0.58962646769051907</v>
      </c>
      <c r="G560" s="166">
        <v>42.609909284345726</v>
      </c>
    </row>
    <row r="561" spans="1:7" x14ac:dyDescent="0.25">
      <c r="A561">
        <v>42</v>
      </c>
      <c r="B561">
        <v>4.4999999999999998E-2</v>
      </c>
      <c r="C561">
        <v>0.3</v>
      </c>
      <c r="D561">
        <v>4.6132134353351519</v>
      </c>
      <c r="E561">
        <v>1.8956210749955227</v>
      </c>
      <c r="F561">
        <v>0.5874379698232528</v>
      </c>
      <c r="G561" s="166">
        <v>42.425650230424331</v>
      </c>
    </row>
    <row r="562" spans="1:7" x14ac:dyDescent="0.25">
      <c r="A562">
        <v>41</v>
      </c>
      <c r="B562">
        <v>4.4999999999999998E-2</v>
      </c>
      <c r="C562">
        <v>0.3</v>
      </c>
      <c r="D562">
        <v>4.5949492668895928</v>
      </c>
      <c r="E562">
        <v>1.8881161235971153</v>
      </c>
      <c r="F562">
        <v>0.58511224477658819</v>
      </c>
      <c r="G562" s="166">
        <v>42.24938900109111</v>
      </c>
    </row>
    <row r="563" spans="1:7" x14ac:dyDescent="0.25">
      <c r="A563">
        <v>40</v>
      </c>
      <c r="B563">
        <v>4.4999999999999998E-2</v>
      </c>
      <c r="C563">
        <v>0.3</v>
      </c>
      <c r="D563">
        <v>4.5763604602503403</v>
      </c>
      <c r="E563">
        <v>1.8804777747285197</v>
      </c>
      <c r="F563">
        <v>0.5827451809095755</v>
      </c>
      <c r="G563" s="166">
        <v>42.03655760653475</v>
      </c>
    </row>
    <row r="564" spans="1:7" x14ac:dyDescent="0.25">
      <c r="A564">
        <v>39</v>
      </c>
      <c r="B564">
        <v>4.4999999999999998E-2</v>
      </c>
      <c r="C564">
        <v>0.3</v>
      </c>
      <c r="D564">
        <v>4.55610453888323</v>
      </c>
      <c r="E564">
        <v>1.8721543897442396</v>
      </c>
      <c r="F564">
        <v>0.58016582977146136</v>
      </c>
      <c r="G564" s="166">
        <v>41.829656807101394</v>
      </c>
    </row>
    <row r="565" spans="1:7" x14ac:dyDescent="0.25">
      <c r="A565">
        <v>38</v>
      </c>
      <c r="B565">
        <v>4.4999999999999998E-2</v>
      </c>
      <c r="C565">
        <v>0.3</v>
      </c>
      <c r="D565">
        <v>4.5356261884097338</v>
      </c>
      <c r="E565">
        <v>1.8637396061486302</v>
      </c>
      <c r="F565">
        <v>0.57755815492699458</v>
      </c>
      <c r="G565" s="166">
        <v>41.623186903803365</v>
      </c>
    </row>
    <row r="566" spans="1:7" x14ac:dyDescent="0.25">
      <c r="A566">
        <v>37</v>
      </c>
      <c r="B566">
        <v>4.4999999999999998E-2</v>
      </c>
      <c r="C566">
        <v>0.3</v>
      </c>
      <c r="D566">
        <v>4.5142510180803654</v>
      </c>
      <c r="E566">
        <v>1.854956309228611</v>
      </c>
      <c r="F566">
        <v>0.57483628071958581</v>
      </c>
      <c r="G566" s="166">
        <v>41.422651606790609</v>
      </c>
    </row>
    <row r="567" spans="1:7" x14ac:dyDescent="0.25">
      <c r="A567">
        <v>36</v>
      </c>
      <c r="B567">
        <v>4.4999999999999998E-2</v>
      </c>
      <c r="C567">
        <v>0.3</v>
      </c>
      <c r="D567">
        <v>4.492050510601362</v>
      </c>
      <c r="E567">
        <v>1.8458338720288814</v>
      </c>
      <c r="F567">
        <v>0.57200930962333862</v>
      </c>
      <c r="G567" s="166">
        <v>41.18250466587299</v>
      </c>
    </row>
    <row r="568" spans="1:7" x14ac:dyDescent="0.25">
      <c r="A568">
        <v>35</v>
      </c>
      <c r="B568">
        <v>4.4999999999999998E-2</v>
      </c>
      <c r="C568">
        <v>0.3</v>
      </c>
      <c r="D568">
        <v>4.4679254768957115</v>
      </c>
      <c r="E568">
        <v>1.8359206254452478</v>
      </c>
      <c r="F568">
        <v>0.56893727295722341</v>
      </c>
      <c r="G568" s="166">
        <v>40.954826026802891</v>
      </c>
    </row>
    <row r="569" spans="1:7" x14ac:dyDescent="0.25">
      <c r="A569">
        <v>34</v>
      </c>
      <c r="B569">
        <v>4.4999999999999998E-2</v>
      </c>
      <c r="C569">
        <v>0.3</v>
      </c>
      <c r="D569">
        <v>4.4437428673600721</v>
      </c>
      <c r="E569">
        <v>1.8259837203081424</v>
      </c>
      <c r="F569">
        <v>0.56585790469261321</v>
      </c>
      <c r="G569" s="166">
        <v>40.725177333893363</v>
      </c>
    </row>
    <row r="570" spans="1:7" x14ac:dyDescent="0.25">
      <c r="A570">
        <v>33</v>
      </c>
      <c r="B570">
        <v>4.4999999999999998E-2</v>
      </c>
      <c r="C570">
        <v>0.3</v>
      </c>
      <c r="D570">
        <v>4.4179450285535484</v>
      </c>
      <c r="E570">
        <v>1.8153830993708129</v>
      </c>
      <c r="F570">
        <v>0.56257285615394081</v>
      </c>
      <c r="G570" s="166">
        <v>40.478723691086152</v>
      </c>
    </row>
    <row r="571" spans="1:7" x14ac:dyDescent="0.25">
      <c r="A571">
        <v>32</v>
      </c>
      <c r="B571">
        <v>4.4999999999999998E-2</v>
      </c>
      <c r="C571">
        <v>0.3</v>
      </c>
      <c r="D571">
        <v>4.3902840604925339</v>
      </c>
      <c r="E571">
        <v>1.8040168977531701</v>
      </c>
      <c r="F571">
        <v>0.55905056022099142</v>
      </c>
      <c r="G571" s="166">
        <v>40.224308504266737</v>
      </c>
    </row>
    <row r="572" spans="1:7" x14ac:dyDescent="0.25">
      <c r="A572">
        <v>31</v>
      </c>
      <c r="B572">
        <v>4.4999999999999998E-2</v>
      </c>
      <c r="C572">
        <v>0.3</v>
      </c>
      <c r="D572">
        <v>4.3621402678488419</v>
      </c>
      <c r="E572">
        <v>1.7924522981061974</v>
      </c>
      <c r="F572">
        <v>0.55546678230880908</v>
      </c>
      <c r="G572" s="166">
        <v>39.97155945893897</v>
      </c>
    </row>
    <row r="573" spans="1:7" x14ac:dyDescent="0.25">
      <c r="A573">
        <v>30</v>
      </c>
      <c r="B573">
        <v>4.4999999999999998E-2</v>
      </c>
      <c r="C573">
        <v>0.3</v>
      </c>
      <c r="D573">
        <v>4.3322507742226017</v>
      </c>
      <c r="E573">
        <v>1.7801703703712131</v>
      </c>
      <c r="F573">
        <v>0.55166071009884898</v>
      </c>
      <c r="G573" s="166">
        <v>39.697059484444296</v>
      </c>
    </row>
    <row r="574" spans="1:7" x14ac:dyDescent="0.25">
      <c r="A574">
        <v>29</v>
      </c>
      <c r="B574">
        <v>4.4999999999999998E-2</v>
      </c>
      <c r="C574">
        <v>0.3</v>
      </c>
      <c r="D574">
        <v>4.2998763243180891</v>
      </c>
      <c r="E574">
        <v>1.766867346266515</v>
      </c>
      <c r="F574">
        <v>0.54753820820453336</v>
      </c>
      <c r="G574" s="166">
        <v>39.422812707204244</v>
      </c>
    </row>
    <row r="575" spans="1:7" x14ac:dyDescent="0.25">
      <c r="A575">
        <v>28</v>
      </c>
      <c r="B575">
        <v>4.4999999999999998E-2</v>
      </c>
      <c r="C575">
        <v>0.3</v>
      </c>
      <c r="D575">
        <v>4.2668588052343717</v>
      </c>
      <c r="E575">
        <v>1.7533000778328112</v>
      </c>
      <c r="F575">
        <v>0.54333381908380107</v>
      </c>
      <c r="G575" s="166">
        <v>39.147115132591907</v>
      </c>
    </row>
    <row r="576" spans="1:7" x14ac:dyDescent="0.25">
      <c r="A576">
        <v>27</v>
      </c>
      <c r="B576">
        <v>4.4999999999999998E-2</v>
      </c>
      <c r="C576">
        <v>0.3</v>
      </c>
      <c r="D576">
        <v>4.2310515771904775</v>
      </c>
      <c r="E576">
        <v>1.7385864867387442</v>
      </c>
      <c r="F576">
        <v>0.53877419364224033</v>
      </c>
      <c r="G576" s="166">
        <v>38.839541464042867</v>
      </c>
    </row>
    <row r="577" spans="1:7" x14ac:dyDescent="0.25">
      <c r="A577">
        <v>26</v>
      </c>
      <c r="B577">
        <v>4.4999999999999998E-2</v>
      </c>
      <c r="C577">
        <v>0.3</v>
      </c>
      <c r="D577">
        <v>4.1936812993515735</v>
      </c>
      <c r="E577">
        <v>1.7232306209755732</v>
      </c>
      <c r="F577">
        <v>0.53401553236347354</v>
      </c>
      <c r="G577" s="166">
        <v>38.542455220671499</v>
      </c>
    </row>
    <row r="578" spans="1:7" x14ac:dyDescent="0.25">
      <c r="A578">
        <v>25</v>
      </c>
      <c r="B578">
        <v>4.4999999999999998E-2</v>
      </c>
      <c r="C578">
        <v>0.3</v>
      </c>
      <c r="D578">
        <v>4.1537043901956707</v>
      </c>
      <c r="E578">
        <v>1.7068036612063455</v>
      </c>
      <c r="F578">
        <v>0.52892494752851327</v>
      </c>
      <c r="G578" s="166">
        <v>38.21727285076539</v>
      </c>
    </row>
    <row r="579" spans="1:7" x14ac:dyDescent="0.25">
      <c r="A579">
        <v>24</v>
      </c>
      <c r="B579">
        <v>4.4999999999999998E-2</v>
      </c>
      <c r="C579">
        <v>0.3</v>
      </c>
      <c r="D579">
        <v>4.1110880162380825</v>
      </c>
      <c r="E579">
        <v>1.689292115784423</v>
      </c>
      <c r="F579">
        <v>0.52349825818283469</v>
      </c>
      <c r="G579" s="166">
        <v>37.899566377132949</v>
      </c>
    </row>
    <row r="580" spans="1:7" x14ac:dyDescent="0.25">
      <c r="A580">
        <v>23</v>
      </c>
      <c r="B580">
        <v>4.4999999999999998E-2</v>
      </c>
      <c r="C580">
        <v>0.3</v>
      </c>
      <c r="D580">
        <v>4.0657361011134263</v>
      </c>
      <c r="E580">
        <v>1.6706565058550809</v>
      </c>
      <c r="F580">
        <v>0.51772323014178134</v>
      </c>
      <c r="G580" s="166">
        <v>37.55297256973347</v>
      </c>
    </row>
    <row r="581" spans="1:7" x14ac:dyDescent="0.25">
      <c r="A581">
        <v>22</v>
      </c>
      <c r="B581">
        <v>4.4999999999999998E-2</v>
      </c>
      <c r="C581">
        <v>0.3</v>
      </c>
      <c r="D581">
        <v>4.0174247468734539</v>
      </c>
      <c r="E581">
        <v>1.650804829243415</v>
      </c>
      <c r="F581">
        <v>0.51157135265942522</v>
      </c>
      <c r="G581" s="166">
        <v>37.214143119156375</v>
      </c>
    </row>
    <row r="582" spans="1:7" x14ac:dyDescent="0.25">
      <c r="A582">
        <v>21</v>
      </c>
      <c r="B582">
        <v>4.4999999999999998E-2</v>
      </c>
      <c r="C582">
        <v>0.3</v>
      </c>
      <c r="D582">
        <v>3.9648888198934218</v>
      </c>
      <c r="E582">
        <v>1.6292172283717592</v>
      </c>
      <c r="F582">
        <v>0.50488152598642821</v>
      </c>
      <c r="G582" s="166">
        <v>36.835672954333944</v>
      </c>
    </row>
    <row r="583" spans="1:7" x14ac:dyDescent="0.25">
      <c r="A583">
        <v>20</v>
      </c>
      <c r="B583">
        <v>4.4999999999999998E-2</v>
      </c>
      <c r="C583">
        <v>0.3</v>
      </c>
      <c r="D583">
        <v>3.9072718637891022</v>
      </c>
      <c r="E583">
        <v>1.6055417757183301</v>
      </c>
      <c r="F583">
        <v>0.49754469056882789</v>
      </c>
      <c r="G583" s="166">
        <v>36.307261013600936</v>
      </c>
    </row>
    <row r="584" spans="1:7" x14ac:dyDescent="0.25">
      <c r="A584">
        <v>19</v>
      </c>
      <c r="B584">
        <v>4.4999999999999998E-2</v>
      </c>
      <c r="C584">
        <v>0.3</v>
      </c>
      <c r="D584">
        <v>3.8425583046398515</v>
      </c>
      <c r="E584">
        <v>1.5789502493818999</v>
      </c>
      <c r="F584">
        <v>0.48930418699370748</v>
      </c>
      <c r="G584" s="166">
        <v>35.779266474236238</v>
      </c>
    </row>
    <row r="585" spans="1:7" x14ac:dyDescent="0.25">
      <c r="A585">
        <v>18</v>
      </c>
      <c r="B585">
        <v>4.4999999999999998E-2</v>
      </c>
      <c r="C585">
        <v>0.3</v>
      </c>
      <c r="D585">
        <v>3.7704600675105264</v>
      </c>
      <c r="E585">
        <v>1.5493242761447774</v>
      </c>
      <c r="F585">
        <v>0.48012333233767113</v>
      </c>
      <c r="G585" s="166">
        <v>35.245065359461869</v>
      </c>
    </row>
    <row r="586" spans="1:7" x14ac:dyDescent="0.25">
      <c r="A586">
        <v>17</v>
      </c>
      <c r="B586">
        <v>4.4999999999999998E-2</v>
      </c>
      <c r="C586">
        <v>0.3</v>
      </c>
      <c r="D586">
        <v>3.6900894869239163</v>
      </c>
      <c r="E586">
        <v>1.5162991043192868</v>
      </c>
      <c r="F586">
        <v>0.46988909293923226</v>
      </c>
      <c r="G586" s="166">
        <v>34.70782053244276</v>
      </c>
    </row>
    <row r="587" spans="1:7" x14ac:dyDescent="0.25">
      <c r="A587">
        <v>16</v>
      </c>
      <c r="B587">
        <v>4.4999999999999998E-2</v>
      </c>
      <c r="C587">
        <v>0.3</v>
      </c>
      <c r="D587">
        <v>3.5997196009251122</v>
      </c>
      <c r="E587">
        <v>1.4791651058937771</v>
      </c>
      <c r="F587">
        <v>0.45838156069334141</v>
      </c>
      <c r="G587" s="166">
        <v>34.17886854838806</v>
      </c>
    </row>
    <row r="588" spans="1:7" x14ac:dyDescent="0.25">
      <c r="A588">
        <v>15</v>
      </c>
      <c r="B588">
        <v>4.4999999999999998E-2</v>
      </c>
      <c r="C588">
        <v>0.3</v>
      </c>
      <c r="D588">
        <v>3.4975068832543639</v>
      </c>
      <c r="E588">
        <v>1.4371647552780547</v>
      </c>
      <c r="F588">
        <v>0.44536598441440439</v>
      </c>
      <c r="G588" s="166">
        <v>33.664959894606092</v>
      </c>
    </row>
    <row r="589" spans="1:7" x14ac:dyDescent="0.25">
      <c r="A589">
        <v>14</v>
      </c>
      <c r="B589">
        <v>4.4999999999999998E-2</v>
      </c>
      <c r="C589">
        <v>0.3</v>
      </c>
      <c r="D589">
        <v>3.382336828158107</v>
      </c>
      <c r="E589">
        <v>1.3898400895739631</v>
      </c>
      <c r="F589">
        <v>0.43070044502444937</v>
      </c>
      <c r="G589" s="166">
        <v>33.165853684762645</v>
      </c>
    </row>
    <row r="590" spans="1:7" x14ac:dyDescent="0.25">
      <c r="A590">
        <v>13</v>
      </c>
      <c r="B590">
        <v>4.4999999999999998E-2</v>
      </c>
      <c r="C590">
        <v>0.3</v>
      </c>
      <c r="D590">
        <v>3.2507166074114497</v>
      </c>
      <c r="E590">
        <v>1.335755866539353</v>
      </c>
      <c r="F590">
        <v>0.41394017231066643</v>
      </c>
      <c r="G590" s="166">
        <v>32.706627389439483</v>
      </c>
    </row>
    <row r="591" spans="1:7" x14ac:dyDescent="0.25">
      <c r="A591">
        <v>12</v>
      </c>
      <c r="B591">
        <v>4.4999999999999998E-2</v>
      </c>
      <c r="C591">
        <v>0.3</v>
      </c>
      <c r="D591">
        <v>3.0995548346629338</v>
      </c>
      <c r="E591">
        <v>1.2736418008945769</v>
      </c>
      <c r="F591">
        <v>0.39469151491751009</v>
      </c>
      <c r="G591" s="166">
        <v>32.314146962571328</v>
      </c>
    </row>
    <row r="592" spans="1:7" x14ac:dyDescent="0.25">
      <c r="A592">
        <v>11</v>
      </c>
      <c r="B592">
        <v>4.4999999999999998E-2</v>
      </c>
      <c r="C592">
        <v>0.3</v>
      </c>
      <c r="D592">
        <v>2.9244408852283965</v>
      </c>
      <c r="E592">
        <v>1.2016855175517724</v>
      </c>
      <c r="F592">
        <v>0.37239283214778846</v>
      </c>
      <c r="G592" s="166">
        <v>32.032218561021367</v>
      </c>
    </row>
    <row r="593" spans="1:7" x14ac:dyDescent="0.25">
      <c r="A593">
        <v>10</v>
      </c>
      <c r="B593">
        <v>4.4999999999999998E-2</v>
      </c>
      <c r="C593">
        <v>0.3</v>
      </c>
      <c r="D593">
        <v>2.7195016024238439</v>
      </c>
      <c r="E593">
        <v>1.1174736706419504</v>
      </c>
      <c r="F593">
        <v>0.34629624721512237</v>
      </c>
      <c r="G593" s="166">
        <v>31.928335804018893</v>
      </c>
    </row>
    <row r="594" spans="1:7" x14ac:dyDescent="0.25">
      <c r="A594">
        <v>9</v>
      </c>
      <c r="B594">
        <v>4.4999999999999998E-2</v>
      </c>
      <c r="C594">
        <v>0.3</v>
      </c>
      <c r="D594">
        <v>2.4764861533871225</v>
      </c>
      <c r="E594">
        <v>1.0176159005212313</v>
      </c>
      <c r="F594">
        <v>0.31535111449605785</v>
      </c>
      <c r="G594" s="166">
        <v>31.96057272027096</v>
      </c>
    </row>
    <row r="595" spans="1:7" x14ac:dyDescent="0.25">
      <c r="A595">
        <v>8</v>
      </c>
      <c r="B595">
        <v>4.4999999999999998E-2</v>
      </c>
      <c r="C595">
        <v>0.3</v>
      </c>
      <c r="D595">
        <v>2.2118064313304662</v>
      </c>
      <c r="E595">
        <v>0.90885603794658698</v>
      </c>
      <c r="F595">
        <v>0.28164729377373549</v>
      </c>
      <c r="G595" s="166">
        <v>31.843195451071939</v>
      </c>
    </row>
    <row r="596" spans="1:7" x14ac:dyDescent="0.25">
      <c r="A596">
        <v>7</v>
      </c>
      <c r="B596">
        <v>4.4999999999999998E-2</v>
      </c>
      <c r="C596">
        <v>0.3</v>
      </c>
      <c r="D596">
        <v>1.9462242819018982</v>
      </c>
      <c r="E596">
        <v>0.79972535785638021</v>
      </c>
      <c r="F596">
        <v>0.24782855963786748</v>
      </c>
      <c r="G596" s="166">
        <v>31.708603044048033</v>
      </c>
    </row>
    <row r="597" spans="1:7" x14ac:dyDescent="0.25">
      <c r="A597">
        <v>6</v>
      </c>
      <c r="B597">
        <v>4.4999999999999998E-2</v>
      </c>
      <c r="C597">
        <v>0.3</v>
      </c>
      <c r="D597">
        <v>1.680309445042045</v>
      </c>
      <c r="E597">
        <v>0.69045797277409593</v>
      </c>
      <c r="F597">
        <v>0.21396746170679268</v>
      </c>
      <c r="G597" s="166">
        <v>31.534295942585633</v>
      </c>
    </row>
    <row r="598" spans="1:7" x14ac:dyDescent="0.25">
      <c r="A598">
        <v>5</v>
      </c>
      <c r="B598">
        <v>4.4999999999999998E-2</v>
      </c>
      <c r="C598">
        <v>0.3</v>
      </c>
      <c r="D598">
        <v>1.4143247153746146</v>
      </c>
      <c r="E598">
        <v>0.58116186795428126</v>
      </c>
      <c r="F598">
        <v>0.18009746375633573</v>
      </c>
      <c r="G598" s="166">
        <v>31.295140138736446</v>
      </c>
    </row>
    <row r="599" spans="1:7" x14ac:dyDescent="0.25">
      <c r="A599">
        <v>4</v>
      </c>
      <c r="B599">
        <v>4.4999999999999998E-2</v>
      </c>
      <c r="C599">
        <v>0.3</v>
      </c>
      <c r="D599">
        <v>1.1480679798203421</v>
      </c>
      <c r="E599">
        <v>0.47175399286871839</v>
      </c>
      <c r="F599">
        <v>0.14619282908503628</v>
      </c>
      <c r="G599" s="166">
        <v>30.948699897357915</v>
      </c>
    </row>
    <row r="600" spans="1:7" x14ac:dyDescent="0.25">
      <c r="A600">
        <v>3</v>
      </c>
      <c r="B600">
        <v>4.4999999999999998E-2</v>
      </c>
      <c r="C600">
        <v>0.3</v>
      </c>
      <c r="D600">
        <v>0.88126180169801571</v>
      </c>
      <c r="E600">
        <v>0.36212034567742007</v>
      </c>
      <c r="F600">
        <v>0.11221822942485518</v>
      </c>
      <c r="G600" s="166">
        <v>30.40216819804564</v>
      </c>
    </row>
    <row r="601" spans="1:7" x14ac:dyDescent="0.25">
      <c r="A601">
        <v>2</v>
      </c>
      <c r="B601">
        <v>4.4999999999999998E-2</v>
      </c>
      <c r="C601">
        <v>0.3</v>
      </c>
      <c r="D601">
        <v>0.61319615074765565</v>
      </c>
      <c r="E601">
        <v>0.25196916699323274</v>
      </c>
      <c r="F601">
        <v>7.8083250850600722E-2</v>
      </c>
      <c r="G601" s="166">
        <v>29.411381982522808</v>
      </c>
    </row>
    <row r="602" spans="1:7" x14ac:dyDescent="0.25">
      <c r="A602">
        <v>1</v>
      </c>
      <c r="B602">
        <v>4.4999999999999998E-2</v>
      </c>
      <c r="C602">
        <v>0.3</v>
      </c>
      <c r="D602">
        <v>0.34081184395755271</v>
      </c>
      <c r="E602">
        <v>0.14004340424953404</v>
      </c>
      <c r="F602">
        <v>4.339834271977467E-2</v>
      </c>
      <c r="G602" s="166">
        <v>27.056405532174278</v>
      </c>
    </row>
    <row r="603" spans="1:7" x14ac:dyDescent="0.25">
      <c r="A603">
        <v>50</v>
      </c>
      <c r="B603">
        <v>0.04</v>
      </c>
      <c r="C603">
        <v>0.3</v>
      </c>
      <c r="D603">
        <v>4.720966234366454</v>
      </c>
      <c r="E603">
        <v>1.9398979070989251</v>
      </c>
      <c r="F603">
        <v>0.60115900969990066</v>
      </c>
      <c r="G603" s="166">
        <v>43.630215543869824</v>
      </c>
    </row>
    <row r="604" spans="1:7" x14ac:dyDescent="0.25">
      <c r="A604">
        <v>49</v>
      </c>
      <c r="B604">
        <v>0.04</v>
      </c>
      <c r="C604">
        <v>0.3</v>
      </c>
      <c r="D604">
        <v>4.7070504337167742</v>
      </c>
      <c r="E604">
        <v>1.9341797487356205</v>
      </c>
      <c r="F604">
        <v>0.59938699767472559</v>
      </c>
      <c r="G604" s="166">
        <v>43.472325048295033</v>
      </c>
    </row>
    <row r="605" spans="1:7" x14ac:dyDescent="0.25">
      <c r="A605">
        <v>48</v>
      </c>
      <c r="B605">
        <v>0.04</v>
      </c>
      <c r="C605">
        <v>0.3</v>
      </c>
      <c r="D605">
        <v>4.6926009829235316</v>
      </c>
      <c r="E605">
        <v>1.9282423075507014</v>
      </c>
      <c r="F605">
        <v>0.59754703163846379</v>
      </c>
      <c r="G605" s="166">
        <v>43.31814853590253</v>
      </c>
    </row>
    <row r="606" spans="1:7" x14ac:dyDescent="0.25">
      <c r="A606">
        <v>47</v>
      </c>
      <c r="B606">
        <v>0.04</v>
      </c>
      <c r="C606">
        <v>0.3</v>
      </c>
      <c r="D606">
        <v>4.6775651538368788</v>
      </c>
      <c r="E606">
        <v>1.9220639169567661</v>
      </c>
      <c r="F606">
        <v>0.59563239728714179</v>
      </c>
      <c r="G606" s="166">
        <v>43.162756507074931</v>
      </c>
    </row>
    <row r="607" spans="1:7" x14ac:dyDescent="0.25">
      <c r="A607">
        <v>46</v>
      </c>
      <c r="B607">
        <v>0.04</v>
      </c>
      <c r="C607">
        <v>0.3</v>
      </c>
      <c r="D607">
        <v>4.6623147132721821</v>
      </c>
      <c r="E607">
        <v>1.9157973401025554</v>
      </c>
      <c r="F607">
        <v>0.59369043471163729</v>
      </c>
      <c r="G607" s="166">
        <v>42.970732604700835</v>
      </c>
    </row>
    <row r="608" spans="1:7" x14ac:dyDescent="0.25">
      <c r="A608">
        <v>45</v>
      </c>
      <c r="B608">
        <v>0.04</v>
      </c>
      <c r="C608">
        <v>0.3</v>
      </c>
      <c r="D608">
        <v>4.6455507439646961</v>
      </c>
      <c r="E608">
        <v>1.9089088373343022</v>
      </c>
      <c r="F608">
        <v>0.59155574221708684</v>
      </c>
      <c r="G608" s="166">
        <v>42.79307517165379</v>
      </c>
    </row>
    <row r="609" spans="1:7" x14ac:dyDescent="0.25">
      <c r="A609">
        <v>44</v>
      </c>
      <c r="B609">
        <v>0.04</v>
      </c>
      <c r="C609">
        <v>0.3</v>
      </c>
      <c r="D609">
        <v>4.6287867746572093</v>
      </c>
      <c r="E609">
        <v>1.9020203345660491</v>
      </c>
      <c r="F609">
        <v>0.58942104972253651</v>
      </c>
      <c r="G609" s="166">
        <v>42.614130903027672</v>
      </c>
    </row>
    <row r="610" spans="1:7" x14ac:dyDescent="0.25">
      <c r="A610">
        <v>43</v>
      </c>
      <c r="B610">
        <v>0.04</v>
      </c>
      <c r="C610">
        <v>0.3</v>
      </c>
      <c r="D610">
        <v>4.6114516322380172</v>
      </c>
      <c r="E610">
        <v>1.8948971303682614</v>
      </c>
      <c r="F610">
        <v>0.58721362511232278</v>
      </c>
      <c r="G610" s="166">
        <v>42.438861325101335</v>
      </c>
    </row>
    <row r="611" spans="1:7" x14ac:dyDescent="0.25">
      <c r="A611">
        <v>42</v>
      </c>
      <c r="B611">
        <v>0.04</v>
      </c>
      <c r="C611">
        <v>0.3</v>
      </c>
      <c r="D611">
        <v>4.5933780247544718</v>
      </c>
      <c r="E611">
        <v>1.8874704826036937</v>
      </c>
      <c r="F611">
        <v>0.58491216574211591</v>
      </c>
      <c r="G611" s="166">
        <v>42.244643997627257</v>
      </c>
    </row>
    <row r="612" spans="1:7" x14ac:dyDescent="0.25">
      <c r="A612">
        <v>41</v>
      </c>
      <c r="B612">
        <v>0.04</v>
      </c>
      <c r="C612">
        <v>0.3</v>
      </c>
      <c r="D612">
        <v>4.5742169429718187</v>
      </c>
      <c r="E612">
        <v>1.8795969794683955</v>
      </c>
      <c r="F612">
        <v>0.58247222942878518</v>
      </c>
      <c r="G612" s="166">
        <v>42.038666230407976</v>
      </c>
    </row>
    <row r="613" spans="1:7" x14ac:dyDescent="0.25">
      <c r="A613">
        <v>40</v>
      </c>
      <c r="B613">
        <v>0.04</v>
      </c>
      <c r="C613">
        <v>0.3</v>
      </c>
      <c r="D613">
        <v>4.554289511592164</v>
      </c>
      <c r="E613">
        <v>1.8714085746995068</v>
      </c>
      <c r="F613">
        <v>0.57993470759123211</v>
      </c>
      <c r="G613" s="166">
        <v>41.83881011119874</v>
      </c>
    </row>
    <row r="614" spans="1:7" x14ac:dyDescent="0.25">
      <c r="A614">
        <v>39</v>
      </c>
      <c r="B614">
        <v>0.04</v>
      </c>
      <c r="C614">
        <v>0.3</v>
      </c>
      <c r="D614">
        <v>4.5340525087060151</v>
      </c>
      <c r="E614">
        <v>1.8630929635309676</v>
      </c>
      <c r="F614">
        <v>0.57735776549709661</v>
      </c>
      <c r="G614" s="166">
        <v>41.639895815087172</v>
      </c>
    </row>
    <row r="615" spans="1:7" x14ac:dyDescent="0.25">
      <c r="A615">
        <v>38</v>
      </c>
      <c r="B615">
        <v>0.04</v>
      </c>
      <c r="C615">
        <v>0.3</v>
      </c>
      <c r="D615">
        <v>4.5126624728804483</v>
      </c>
      <c r="E615">
        <v>1.8543035582120464</v>
      </c>
      <c r="F615">
        <v>0.5746339983452079</v>
      </c>
      <c r="G615" s="166">
        <v>41.420493792442379</v>
      </c>
    </row>
    <row r="616" spans="1:7" x14ac:dyDescent="0.25">
      <c r="A616">
        <v>37</v>
      </c>
      <c r="B616">
        <v>0.04</v>
      </c>
      <c r="C616">
        <v>0.3</v>
      </c>
      <c r="D616">
        <v>4.4897658562795533</v>
      </c>
      <c r="E616">
        <v>1.8448950819767393</v>
      </c>
      <c r="F616">
        <v>0.57171838601545366</v>
      </c>
      <c r="G616" s="166">
        <v>41.195511129419678</v>
      </c>
    </row>
    <row r="617" spans="1:7" x14ac:dyDescent="0.25">
      <c r="A617">
        <v>36</v>
      </c>
      <c r="B617">
        <v>0.04</v>
      </c>
      <c r="C617">
        <v>0.3</v>
      </c>
      <c r="D617">
        <v>4.4663461701359557</v>
      </c>
      <c r="E617">
        <v>1.8352716706072287</v>
      </c>
      <c r="F617">
        <v>0.56873616698853513</v>
      </c>
      <c r="G617" s="166">
        <v>40.97355049061435</v>
      </c>
    </row>
    <row r="618" spans="1:7" x14ac:dyDescent="0.25">
      <c r="A618">
        <v>35</v>
      </c>
      <c r="B618">
        <v>0.04</v>
      </c>
      <c r="C618">
        <v>0.3</v>
      </c>
      <c r="D618">
        <v>4.4419770608908609</v>
      </c>
      <c r="E618">
        <v>1.8252581306504512</v>
      </c>
      <c r="F618">
        <v>0.56563305019977117</v>
      </c>
      <c r="G618" s="166">
        <v>40.746829478211026</v>
      </c>
    </row>
    <row r="619" spans="1:7" x14ac:dyDescent="0.25">
      <c r="A619">
        <v>34</v>
      </c>
      <c r="B619">
        <v>0.04</v>
      </c>
      <c r="C619">
        <v>0.3</v>
      </c>
      <c r="D619">
        <v>4.4159698649664998</v>
      </c>
      <c r="E619">
        <v>1.8145714825283112</v>
      </c>
      <c r="F619">
        <v>0.56232134251731658</v>
      </c>
      <c r="G619" s="166">
        <v>40.494335490278594</v>
      </c>
    </row>
    <row r="620" spans="1:7" x14ac:dyDescent="0.25">
      <c r="A620">
        <v>33</v>
      </c>
      <c r="B620">
        <v>0.04</v>
      </c>
      <c r="C620">
        <v>0.3</v>
      </c>
      <c r="D620">
        <v>4.3887151238670965</v>
      </c>
      <c r="E620">
        <v>1.8033722041195026</v>
      </c>
      <c r="F620">
        <v>0.55885077476580991</v>
      </c>
      <c r="G620" s="166">
        <v>40.251491750453503</v>
      </c>
    </row>
    <row r="621" spans="1:7" x14ac:dyDescent="0.25">
      <c r="A621">
        <v>32</v>
      </c>
      <c r="B621">
        <v>0.04</v>
      </c>
      <c r="C621">
        <v>0.3</v>
      </c>
      <c r="D621">
        <v>4.3606192171532081</v>
      </c>
      <c r="E621">
        <v>1.7918272813374752</v>
      </c>
      <c r="F621">
        <v>0.55527309455835794</v>
      </c>
      <c r="G621" s="166">
        <v>39.999470495086165</v>
      </c>
    </row>
    <row r="622" spans="1:7" x14ac:dyDescent="0.25">
      <c r="A622">
        <v>31</v>
      </c>
      <c r="B622">
        <v>0.04</v>
      </c>
      <c r="C622">
        <v>0.3</v>
      </c>
      <c r="D622">
        <v>4.3302678356817372</v>
      </c>
      <c r="E622">
        <v>1.7793555587130983</v>
      </c>
      <c r="F622">
        <v>0.551408206414149</v>
      </c>
      <c r="G622" s="166">
        <v>39.727595284005659</v>
      </c>
    </row>
    <row r="623" spans="1:7" x14ac:dyDescent="0.25">
      <c r="A623">
        <v>30</v>
      </c>
      <c r="B623">
        <v>0.04</v>
      </c>
      <c r="C623">
        <v>0.3</v>
      </c>
      <c r="D623">
        <v>4.2988207051654861</v>
      </c>
      <c r="E623">
        <v>1.7664335805323055</v>
      </c>
      <c r="F623">
        <v>0.54740378763618036</v>
      </c>
      <c r="G623" s="166">
        <v>39.462946657095316</v>
      </c>
    </row>
    <row r="624" spans="1:7" x14ac:dyDescent="0.25">
      <c r="A624">
        <v>29</v>
      </c>
      <c r="B624">
        <v>0.04</v>
      </c>
      <c r="C624">
        <v>0.3</v>
      </c>
      <c r="D624">
        <v>4.2658743924866664</v>
      </c>
      <c r="E624">
        <v>1.7528955716079848</v>
      </c>
      <c r="F624">
        <v>0.5432084658058558</v>
      </c>
      <c r="G624" s="166">
        <v>39.171936865983881</v>
      </c>
    </row>
    <row r="625" spans="1:7" x14ac:dyDescent="0.25">
      <c r="A625">
        <v>28</v>
      </c>
      <c r="B625">
        <v>0.04</v>
      </c>
      <c r="C625">
        <v>0.3</v>
      </c>
      <c r="D625">
        <v>4.2298669766532777</v>
      </c>
      <c r="E625">
        <v>1.7380997211088329</v>
      </c>
      <c r="F625">
        <v>0.53862334882563301</v>
      </c>
      <c r="G625" s="166">
        <v>38.888806082555121</v>
      </c>
    </row>
    <row r="626" spans="1:7" x14ac:dyDescent="0.25">
      <c r="A626">
        <v>27</v>
      </c>
      <c r="B626">
        <v>0.04</v>
      </c>
      <c r="C626">
        <v>0.3</v>
      </c>
      <c r="D626">
        <v>4.1930608484435821</v>
      </c>
      <c r="E626">
        <v>1.722975670747565</v>
      </c>
      <c r="F626">
        <v>0.53393652530540547</v>
      </c>
      <c r="G626" s="166">
        <v>38.587295967154724</v>
      </c>
    </row>
    <row r="627" spans="1:7" x14ac:dyDescent="0.25">
      <c r="A627">
        <v>26</v>
      </c>
      <c r="B627">
        <v>0.04</v>
      </c>
      <c r="C627">
        <v>0.3</v>
      </c>
      <c r="D627">
        <v>4.1527725152014154</v>
      </c>
      <c r="E627">
        <v>1.7064207433329082</v>
      </c>
      <c r="F627">
        <v>0.52880628430982024</v>
      </c>
      <c r="G627" s="166">
        <v>38.279145398828142</v>
      </c>
    </row>
    <row r="628" spans="1:7" x14ac:dyDescent="0.25">
      <c r="A628">
        <v>25</v>
      </c>
      <c r="B628">
        <v>0.04</v>
      </c>
      <c r="C628">
        <v>0.3</v>
      </c>
      <c r="D628">
        <v>4.111203952989678</v>
      </c>
      <c r="E628">
        <v>1.6893397554943066</v>
      </c>
      <c r="F628">
        <v>0.52351302135192268</v>
      </c>
      <c r="G628" s="166">
        <v>37.958297010015379</v>
      </c>
    </row>
    <row r="629" spans="1:7" x14ac:dyDescent="0.25">
      <c r="A629">
        <v>24</v>
      </c>
      <c r="B629">
        <v>0.04</v>
      </c>
      <c r="C629">
        <v>0.3</v>
      </c>
      <c r="D629">
        <v>4.0655995826087814</v>
      </c>
      <c r="E629">
        <v>1.6706004088723247</v>
      </c>
      <c r="F629">
        <v>0.51770584613075821</v>
      </c>
      <c r="G629" s="166">
        <v>37.631339273746335</v>
      </c>
    </row>
    <row r="630" spans="1:7" x14ac:dyDescent="0.25">
      <c r="A630">
        <v>23</v>
      </c>
      <c r="B630">
        <v>0.04</v>
      </c>
      <c r="C630">
        <v>0.3</v>
      </c>
      <c r="D630">
        <v>4.0183121739735252</v>
      </c>
      <c r="E630">
        <v>1.6511694829792538</v>
      </c>
      <c r="F630">
        <v>0.51168435596641271</v>
      </c>
      <c r="G630" s="166">
        <v>37.283347677973303</v>
      </c>
    </row>
    <row r="631" spans="1:7" x14ac:dyDescent="0.25">
      <c r="A631">
        <v>22</v>
      </c>
      <c r="B631">
        <v>0.04</v>
      </c>
      <c r="C631">
        <v>0.3</v>
      </c>
      <c r="D631">
        <v>3.9656176808815493</v>
      </c>
      <c r="E631">
        <v>1.6295167255160392</v>
      </c>
      <c r="F631">
        <v>0.50497433778131939</v>
      </c>
      <c r="G631" s="166">
        <v>36.833529528136459</v>
      </c>
    </row>
    <row r="632" spans="1:7" x14ac:dyDescent="0.25">
      <c r="A632">
        <v>21</v>
      </c>
      <c r="B632">
        <v>0.04</v>
      </c>
      <c r="C632">
        <v>0.3</v>
      </c>
      <c r="D632">
        <v>3.9073846423665897</v>
      </c>
      <c r="E632">
        <v>1.6055881176990969</v>
      </c>
      <c r="F632">
        <v>0.49755905158193242</v>
      </c>
      <c r="G632" s="166">
        <v>36.330307086131384</v>
      </c>
    </row>
    <row r="633" spans="1:7" x14ac:dyDescent="0.25">
      <c r="A633">
        <v>20</v>
      </c>
      <c r="B633">
        <v>0.04</v>
      </c>
      <c r="C633">
        <v>0.3</v>
      </c>
      <c r="D633">
        <v>3.8419796779890034</v>
      </c>
      <c r="E633">
        <v>1.5787124852096417</v>
      </c>
      <c r="F633">
        <v>0.48923050575831167</v>
      </c>
      <c r="G633" s="166">
        <v>35.830809792116213</v>
      </c>
    </row>
    <row r="634" spans="1:7" x14ac:dyDescent="0.25">
      <c r="A634">
        <v>19</v>
      </c>
      <c r="B634">
        <v>0.04</v>
      </c>
      <c r="C634">
        <v>0.3</v>
      </c>
      <c r="D634">
        <v>3.7687837374623987</v>
      </c>
      <c r="E634">
        <v>1.54863545335077</v>
      </c>
      <c r="F634">
        <v>0.47990987160492388</v>
      </c>
      <c r="G634" s="166">
        <v>35.334386509274502</v>
      </c>
    </row>
    <row r="635" spans="1:7" x14ac:dyDescent="0.25">
      <c r="A635">
        <v>18</v>
      </c>
      <c r="B635">
        <v>0.04</v>
      </c>
      <c r="C635">
        <v>0.3</v>
      </c>
      <c r="D635">
        <v>3.6870192736104133</v>
      </c>
      <c r="E635">
        <v>1.5150375192781029</v>
      </c>
      <c r="F635">
        <v>0.46949813771873589</v>
      </c>
      <c r="G635" s="166">
        <v>34.833452939457295</v>
      </c>
    </row>
    <row r="636" spans="1:7" x14ac:dyDescent="0.25">
      <c r="A636">
        <v>17</v>
      </c>
      <c r="B636">
        <v>0.04</v>
      </c>
      <c r="C636">
        <v>0.3</v>
      </c>
      <c r="D636">
        <v>3.5953994106128091</v>
      </c>
      <c r="E636">
        <v>1.4773898913023025</v>
      </c>
      <c r="F636">
        <v>0.4578314357399042</v>
      </c>
      <c r="G636" s="166">
        <v>34.345226998878296</v>
      </c>
    </row>
    <row r="637" spans="1:7" x14ac:dyDescent="0.25">
      <c r="A637">
        <v>16</v>
      </c>
      <c r="B637">
        <v>0.04</v>
      </c>
      <c r="C637">
        <v>0.3</v>
      </c>
      <c r="D637">
        <v>3.491972287868478</v>
      </c>
      <c r="E637">
        <v>1.4348905280388167</v>
      </c>
      <c r="F637">
        <v>0.44466121939044628</v>
      </c>
      <c r="G637" s="166">
        <v>33.876251112528749</v>
      </c>
    </row>
    <row r="638" spans="1:7" x14ac:dyDescent="0.25">
      <c r="A638">
        <v>15</v>
      </c>
      <c r="B638">
        <v>0.04</v>
      </c>
      <c r="C638">
        <v>0.3</v>
      </c>
      <c r="D638">
        <v>3.3750068828217392</v>
      </c>
      <c r="E638">
        <v>1.3868281329296517</v>
      </c>
      <c r="F638">
        <v>0.42976706349600541</v>
      </c>
      <c r="G638" s="166">
        <v>33.439863114515028</v>
      </c>
    </row>
    <row r="639" spans="1:7" x14ac:dyDescent="0.25">
      <c r="A639">
        <v>14</v>
      </c>
      <c r="B639">
        <v>0.04</v>
      </c>
      <c r="C639">
        <v>0.3</v>
      </c>
      <c r="D639">
        <v>3.2416688660208779</v>
      </c>
      <c r="E639">
        <v>1.3320380482546605</v>
      </c>
      <c r="F639">
        <v>0.41278804984582379</v>
      </c>
      <c r="G639" s="166">
        <v>33.054816204738401</v>
      </c>
    </row>
    <row r="640" spans="1:7" x14ac:dyDescent="0.25">
      <c r="A640">
        <v>13</v>
      </c>
      <c r="B640">
        <v>0.04</v>
      </c>
      <c r="C640">
        <v>0.3</v>
      </c>
      <c r="D640">
        <v>3.0887897658082659</v>
      </c>
      <c r="E640">
        <v>1.2692183135184278</v>
      </c>
      <c r="F640">
        <v>0.3933207111856567</v>
      </c>
      <c r="G640" s="166">
        <v>32.749951356926687</v>
      </c>
    </row>
    <row r="641" spans="1:7" x14ac:dyDescent="0.25">
      <c r="A641">
        <v>12</v>
      </c>
      <c r="B641">
        <v>0.04</v>
      </c>
      <c r="C641">
        <v>0.3</v>
      </c>
      <c r="D641">
        <v>2.9119354419402823</v>
      </c>
      <c r="E641">
        <v>1.1965468908263022</v>
      </c>
      <c r="F641">
        <v>0.37080041239095662</v>
      </c>
      <c r="G641" s="166">
        <v>32.580900594278951</v>
      </c>
    </row>
    <row r="642" spans="1:7" x14ac:dyDescent="0.25">
      <c r="A642">
        <v>11</v>
      </c>
      <c r="B642">
        <v>0.04</v>
      </c>
      <c r="C642">
        <v>0.3</v>
      </c>
      <c r="D642">
        <v>2.7053341355816136</v>
      </c>
      <c r="E642">
        <v>1.1116520998211152</v>
      </c>
      <c r="F642">
        <v>0.3444921884877305</v>
      </c>
      <c r="G642" s="166">
        <v>32.605121057030253</v>
      </c>
    </row>
    <row r="643" spans="1:7" x14ac:dyDescent="0.25">
      <c r="A643">
        <v>10</v>
      </c>
      <c r="B643">
        <v>0.04</v>
      </c>
      <c r="C643">
        <v>0.3</v>
      </c>
      <c r="D643">
        <v>2.4709462339010875</v>
      </c>
      <c r="E643">
        <v>1.0153394855496047</v>
      </c>
      <c r="F643">
        <v>0.31464567151114553</v>
      </c>
      <c r="G643" s="166">
        <v>32.490190847526883</v>
      </c>
    </row>
    <row r="644" spans="1:7" x14ac:dyDescent="0.25">
      <c r="A644">
        <v>9</v>
      </c>
      <c r="B644">
        <v>0.04</v>
      </c>
      <c r="C644">
        <v>0.3</v>
      </c>
      <c r="D644">
        <v>2.2321354160620435</v>
      </c>
      <c r="E644">
        <v>0.91720944548573768</v>
      </c>
      <c r="F644">
        <v>0.28423594866401547</v>
      </c>
      <c r="G644" s="166">
        <v>32.394214528541447</v>
      </c>
    </row>
    <row r="645" spans="1:7" x14ac:dyDescent="0.25">
      <c r="A645">
        <v>8</v>
      </c>
      <c r="B645">
        <v>0.04</v>
      </c>
      <c r="C645">
        <v>0.3</v>
      </c>
      <c r="D645">
        <v>1.993324598222997</v>
      </c>
      <c r="E645">
        <v>0.81907940542186952</v>
      </c>
      <c r="F645">
        <v>0.25382622581688513</v>
      </c>
      <c r="G645" s="166">
        <v>32.275241269418409</v>
      </c>
    </row>
    <row r="646" spans="1:7" x14ac:dyDescent="0.25">
      <c r="A646">
        <v>7</v>
      </c>
      <c r="B646">
        <v>0.04</v>
      </c>
      <c r="C646">
        <v>0.3</v>
      </c>
      <c r="D646">
        <v>1.7545137803839526</v>
      </c>
      <c r="E646">
        <v>0.72094936535800214</v>
      </c>
      <c r="F646">
        <v>0.22341650296975499</v>
      </c>
      <c r="G646" s="166">
        <v>32.123880574380287</v>
      </c>
    </row>
    <row r="647" spans="1:7" x14ac:dyDescent="0.25">
      <c r="A647">
        <v>6</v>
      </c>
      <c r="B647">
        <v>0.04</v>
      </c>
      <c r="C647">
        <v>0.3</v>
      </c>
      <c r="D647">
        <v>1.5153903454000275</v>
      </c>
      <c r="E647">
        <v>0.62269086740755586</v>
      </c>
      <c r="F647">
        <v>0.19296697204014729</v>
      </c>
      <c r="G647" s="166">
        <v>31.928323373822071</v>
      </c>
    </row>
    <row r="648" spans="1:7" x14ac:dyDescent="0.25">
      <c r="A648">
        <v>5</v>
      </c>
      <c r="B648">
        <v>0.04</v>
      </c>
      <c r="C648">
        <v>0.3</v>
      </c>
      <c r="D648">
        <v>1.2762127552932614</v>
      </c>
      <c r="E648">
        <v>0.5244101165105215</v>
      </c>
      <c r="F648">
        <v>0.16251054509849436</v>
      </c>
      <c r="G648" s="166">
        <v>31.660194945893696</v>
      </c>
    </row>
    <row r="649" spans="1:7" x14ac:dyDescent="0.25">
      <c r="A649">
        <v>4</v>
      </c>
      <c r="B649">
        <v>0.04</v>
      </c>
      <c r="C649">
        <v>0.3</v>
      </c>
      <c r="D649">
        <v>1.0367687787750901</v>
      </c>
      <c r="E649">
        <v>0.42601990445314186</v>
      </c>
      <c r="F649">
        <v>0.13202019700948983</v>
      </c>
      <c r="G649" s="166">
        <v>31.272831270797937</v>
      </c>
    </row>
    <row r="650" spans="1:7" x14ac:dyDescent="0.25">
      <c r="A650">
        <v>3</v>
      </c>
      <c r="B650">
        <v>0.04</v>
      </c>
      <c r="C650">
        <v>0.3</v>
      </c>
      <c r="D650">
        <v>0.79681578094968342</v>
      </c>
      <c r="E650">
        <v>0.32742052983887149</v>
      </c>
      <c r="F650">
        <v>0.10146503109934812</v>
      </c>
      <c r="G650" s="166">
        <v>30.663714078008308</v>
      </c>
    </row>
    <row r="651" spans="1:7" x14ac:dyDescent="0.25">
      <c r="A651">
        <v>2</v>
      </c>
      <c r="B651">
        <v>0.04</v>
      </c>
      <c r="C651">
        <v>0.3</v>
      </c>
      <c r="D651">
        <v>0.55566259384558481</v>
      </c>
      <c r="E651">
        <v>0.22832798400619492</v>
      </c>
      <c r="F651">
        <v>7.0757035331416154E-2</v>
      </c>
      <c r="G651" s="166">
        <v>29.56639177951876</v>
      </c>
    </row>
    <row r="652" spans="1:7" x14ac:dyDescent="0.25">
      <c r="A652">
        <v>1</v>
      </c>
      <c r="B652">
        <v>0.04</v>
      </c>
      <c r="C652">
        <v>0.3</v>
      </c>
      <c r="D652">
        <v>0.31042361009371661</v>
      </c>
      <c r="E652">
        <v>0.12755653856433616</v>
      </c>
      <c r="F652">
        <v>3.9528761860854536E-2</v>
      </c>
      <c r="G652" s="166">
        <v>26.991737110936349</v>
      </c>
    </row>
    <row r="653" spans="1:7" x14ac:dyDescent="0.25">
      <c r="A653">
        <v>50</v>
      </c>
      <c r="B653">
        <v>3.5000000000000003E-2</v>
      </c>
      <c r="C653">
        <v>0.3</v>
      </c>
      <c r="D653">
        <v>4.7052365831227059</v>
      </c>
      <c r="E653">
        <v>1.9334344172088649</v>
      </c>
      <c r="F653">
        <v>0.59915602533289103</v>
      </c>
      <c r="G653" s="166">
        <v>43.471951820606165</v>
      </c>
    </row>
    <row r="654" spans="1:7" x14ac:dyDescent="0.25">
      <c r="A654">
        <v>49</v>
      </c>
      <c r="B654">
        <v>3.5000000000000003E-2</v>
      </c>
      <c r="C654">
        <v>0.3</v>
      </c>
      <c r="D654">
        <v>4.6905621462670499</v>
      </c>
      <c r="E654">
        <v>1.9274045267307427</v>
      </c>
      <c r="F654">
        <v>0.5972874099922787</v>
      </c>
      <c r="G654" s="166">
        <v>43.325553768666033</v>
      </c>
    </row>
    <row r="655" spans="1:7" x14ac:dyDescent="0.25">
      <c r="A655">
        <v>48</v>
      </c>
      <c r="B655">
        <v>3.5000000000000003E-2</v>
      </c>
      <c r="C655">
        <v>0.3</v>
      </c>
      <c r="D655">
        <v>4.6757666913560234</v>
      </c>
      <c r="E655">
        <v>1.9213249085780979</v>
      </c>
      <c r="F655">
        <v>0.59540338443886021</v>
      </c>
      <c r="G655" s="166">
        <v>43.140692180054295</v>
      </c>
    </row>
    <row r="656" spans="1:7" x14ac:dyDescent="0.25">
      <c r="A656">
        <v>47</v>
      </c>
      <c r="B656">
        <v>3.5000000000000003E-2</v>
      </c>
      <c r="C656">
        <v>0.3</v>
      </c>
      <c r="D656">
        <v>4.6596780580814405</v>
      </c>
      <c r="E656">
        <v>1.914713908950469</v>
      </c>
      <c r="F656">
        <v>0.59335468797152124</v>
      </c>
      <c r="G656" s="166">
        <v>42.96524692369406</v>
      </c>
    </row>
    <row r="657" spans="1:7" x14ac:dyDescent="0.25">
      <c r="A657">
        <v>46</v>
      </c>
      <c r="B657">
        <v>3.5000000000000003E-2</v>
      </c>
      <c r="C657">
        <v>0.3</v>
      </c>
      <c r="D657">
        <v>4.6433226166706643</v>
      </c>
      <c r="E657">
        <v>1.9079932748710555</v>
      </c>
      <c r="F657">
        <v>0.59127201665518503</v>
      </c>
      <c r="G657" s="166">
        <v>42.791342628216128</v>
      </c>
    </row>
    <row r="658" spans="1:7" x14ac:dyDescent="0.25">
      <c r="A658">
        <v>45</v>
      </c>
      <c r="B658">
        <v>3.5000000000000003E-2</v>
      </c>
      <c r="C658">
        <v>0.3</v>
      </c>
      <c r="D658">
        <v>4.6268092019425024</v>
      </c>
      <c r="E658">
        <v>1.9012077277860069</v>
      </c>
      <c r="F658">
        <v>0.58916922931210258</v>
      </c>
      <c r="G658" s="166">
        <v>42.617586678265617</v>
      </c>
    </row>
    <row r="659" spans="1:7" x14ac:dyDescent="0.25">
      <c r="A659">
        <v>44</v>
      </c>
      <c r="B659">
        <v>3.5000000000000003E-2</v>
      </c>
      <c r="C659">
        <v>0.3</v>
      </c>
      <c r="D659">
        <v>4.6092231923813038</v>
      </c>
      <c r="E659">
        <v>1.8939814394695074</v>
      </c>
      <c r="F659">
        <v>0.5869298597492737</v>
      </c>
      <c r="G659" s="166">
        <v>42.438232073684425</v>
      </c>
    </row>
    <row r="660" spans="1:7" x14ac:dyDescent="0.25">
      <c r="A660">
        <v>43</v>
      </c>
      <c r="B660">
        <v>3.5000000000000003E-2</v>
      </c>
      <c r="C660">
        <v>0.3</v>
      </c>
      <c r="D660">
        <v>4.590999378949296</v>
      </c>
      <c r="E660">
        <v>1.8864930703982006</v>
      </c>
      <c r="F660">
        <v>0.58460927343455038</v>
      </c>
      <c r="G660" s="166">
        <v>42.234205380768657</v>
      </c>
    </row>
    <row r="661" spans="1:7" x14ac:dyDescent="0.25">
      <c r="A661">
        <v>42</v>
      </c>
      <c r="B661">
        <v>3.5000000000000003E-2</v>
      </c>
      <c r="C661">
        <v>0.3</v>
      </c>
      <c r="D661">
        <v>4.5716028065705165</v>
      </c>
      <c r="E661">
        <v>1.8785228015391315</v>
      </c>
      <c r="F661">
        <v>0.58213935018919494</v>
      </c>
      <c r="G661" s="166">
        <v>42.040577626521518</v>
      </c>
    </row>
    <row r="662" spans="1:7" x14ac:dyDescent="0.25">
      <c r="A662">
        <v>41</v>
      </c>
      <c r="B662">
        <v>3.5000000000000003E-2</v>
      </c>
      <c r="C662">
        <v>0.3</v>
      </c>
      <c r="D662">
        <v>4.5522062341917362</v>
      </c>
      <c r="E662">
        <v>1.8705525326800623</v>
      </c>
      <c r="F662">
        <v>0.57966942694383949</v>
      </c>
      <c r="G662" s="166">
        <v>41.845299808741878</v>
      </c>
    </row>
    <row r="663" spans="1:7" x14ac:dyDescent="0.25">
      <c r="A663">
        <v>40</v>
      </c>
      <c r="B663">
        <v>3.5000000000000003E-2</v>
      </c>
      <c r="C663">
        <v>0.3</v>
      </c>
      <c r="D663">
        <v>4.5316077461135036</v>
      </c>
      <c r="E663">
        <v>1.8620883831969579</v>
      </c>
      <c r="F663">
        <v>0.57704645400150334</v>
      </c>
      <c r="G663" s="166">
        <v>41.642270866261882</v>
      </c>
    </row>
    <row r="664" spans="1:7" x14ac:dyDescent="0.25">
      <c r="A664">
        <v>39</v>
      </c>
      <c r="B664">
        <v>3.5000000000000003E-2</v>
      </c>
      <c r="C664">
        <v>0.3</v>
      </c>
      <c r="D664">
        <v>4.5098908664033281</v>
      </c>
      <c r="E664">
        <v>1.8531646740647445</v>
      </c>
      <c r="F664">
        <v>0.57428106716071126</v>
      </c>
      <c r="G664" s="166">
        <v>41.419668142971311</v>
      </c>
    </row>
    <row r="665" spans="1:7" x14ac:dyDescent="0.25">
      <c r="A665">
        <v>38</v>
      </c>
      <c r="B665">
        <v>3.5000000000000003E-2</v>
      </c>
      <c r="C665">
        <v>0.3</v>
      </c>
      <c r="D665">
        <v>4.4871485488198344</v>
      </c>
      <c r="E665">
        <v>1.8438196010240517</v>
      </c>
      <c r="F665">
        <v>0.57138510297921608</v>
      </c>
      <c r="G665" s="166">
        <v>41.205360684196336</v>
      </c>
    </row>
    <row r="666" spans="1:7" x14ac:dyDescent="0.25">
      <c r="A666">
        <v>37</v>
      </c>
      <c r="B666">
        <v>3.5000000000000003E-2</v>
      </c>
      <c r="C666">
        <v>0.3</v>
      </c>
      <c r="D666">
        <v>4.4640744232060774</v>
      </c>
      <c r="E666">
        <v>1.8343381843470117</v>
      </c>
      <c r="F666">
        <v>0.5684468869837952</v>
      </c>
      <c r="G666" s="166">
        <v>40.991769527134878</v>
      </c>
    </row>
    <row r="667" spans="1:7" x14ac:dyDescent="0.25">
      <c r="A667">
        <v>36</v>
      </c>
      <c r="B667">
        <v>3.5000000000000003E-2</v>
      </c>
      <c r="C667">
        <v>0.3</v>
      </c>
      <c r="D667">
        <v>4.4394927178827066</v>
      </c>
      <c r="E667">
        <v>1.8242372862802987</v>
      </c>
      <c r="F667">
        <v>0.56531669860808542</v>
      </c>
      <c r="G667" s="166">
        <v>40.74467927114349</v>
      </c>
    </row>
    <row r="668" spans="1:7" x14ac:dyDescent="0.25">
      <c r="A668">
        <v>35</v>
      </c>
      <c r="B668">
        <v>3.5000000000000003E-2</v>
      </c>
      <c r="C668">
        <v>0.3</v>
      </c>
      <c r="D668">
        <v>4.4130888652948288</v>
      </c>
      <c r="E668">
        <v>1.8133876474920123</v>
      </c>
      <c r="F668">
        <v>0.56195448140804627</v>
      </c>
      <c r="G668" s="166">
        <v>40.51101725439301</v>
      </c>
    </row>
    <row r="669" spans="1:7" x14ac:dyDescent="0.25">
      <c r="A669">
        <v>34</v>
      </c>
      <c r="B669">
        <v>3.5000000000000003E-2</v>
      </c>
      <c r="C669">
        <v>0.3</v>
      </c>
      <c r="D669">
        <v>4.3865580231577148</v>
      </c>
      <c r="E669">
        <v>1.8024858272754849</v>
      </c>
      <c r="F669">
        <v>0.55857609359634186</v>
      </c>
      <c r="G669" s="166">
        <v>40.275654830646154</v>
      </c>
    </row>
    <row r="670" spans="1:7" x14ac:dyDescent="0.25">
      <c r="A670">
        <v>33</v>
      </c>
      <c r="B670">
        <v>3.5000000000000003E-2</v>
      </c>
      <c r="C670">
        <v>0.3</v>
      </c>
      <c r="D670">
        <v>4.357947275788951</v>
      </c>
      <c r="E670">
        <v>1.7907293507014368</v>
      </c>
      <c r="F670">
        <v>0.5549328545429093</v>
      </c>
      <c r="G670" s="166">
        <v>40.008888473504499</v>
      </c>
    </row>
    <row r="671" spans="1:7" x14ac:dyDescent="0.25">
      <c r="A671">
        <v>32</v>
      </c>
      <c r="B671">
        <v>3.5000000000000003E-2</v>
      </c>
      <c r="C671">
        <v>0.3</v>
      </c>
      <c r="D671">
        <v>4.3275545700616682</v>
      </c>
      <c r="E671">
        <v>1.7782406474774577</v>
      </c>
      <c r="F671">
        <v>0.55106270424526249</v>
      </c>
      <c r="G671" s="166">
        <v>39.75522659455536</v>
      </c>
    </row>
    <row r="672" spans="1:7" x14ac:dyDescent="0.25">
      <c r="A672">
        <v>31</v>
      </c>
      <c r="B672">
        <v>3.5000000000000003E-2</v>
      </c>
      <c r="C672">
        <v>0.3</v>
      </c>
      <c r="D672">
        <v>4.2965233303670978</v>
      </c>
      <c r="E672">
        <v>1.7654895634938501</v>
      </c>
      <c r="F672">
        <v>0.5471112442266014</v>
      </c>
      <c r="G672" s="166">
        <v>39.485978610390426</v>
      </c>
    </row>
    <row r="673" spans="1:7" x14ac:dyDescent="0.25">
      <c r="A673">
        <v>30</v>
      </c>
      <c r="B673">
        <v>3.5000000000000003E-2</v>
      </c>
      <c r="C673">
        <v>0.3</v>
      </c>
      <c r="D673">
        <v>4.2626660356760286</v>
      </c>
      <c r="E673">
        <v>1.7515772218564285</v>
      </c>
      <c r="F673">
        <v>0.54279991965083207</v>
      </c>
      <c r="G673" s="166">
        <v>39.20696352025832</v>
      </c>
    </row>
    <row r="674" spans="1:7" x14ac:dyDescent="0.25">
      <c r="A674">
        <v>29</v>
      </c>
      <c r="B674">
        <v>3.5000000000000003E-2</v>
      </c>
      <c r="C674">
        <v>0.3</v>
      </c>
      <c r="D674">
        <v>4.2279389049449483</v>
      </c>
      <c r="E674">
        <v>1.7373074548467915</v>
      </c>
      <c r="F674">
        <v>0.53837783178075937</v>
      </c>
      <c r="G674" s="166">
        <v>38.93074605840642</v>
      </c>
    </row>
    <row r="675" spans="1:7" x14ac:dyDescent="0.25">
      <c r="A675">
        <v>28</v>
      </c>
      <c r="B675">
        <v>3.5000000000000003E-2</v>
      </c>
      <c r="C675">
        <v>0.3</v>
      </c>
      <c r="D675">
        <v>4.1903282274558808</v>
      </c>
      <c r="E675">
        <v>1.7218528061745573</v>
      </c>
      <c r="F675">
        <v>0.53358855846020903</v>
      </c>
      <c r="G675" s="166">
        <v>38.626254138969436</v>
      </c>
    </row>
    <row r="676" spans="1:7" x14ac:dyDescent="0.25">
      <c r="A676">
        <v>27</v>
      </c>
      <c r="B676">
        <v>3.5000000000000003E-2</v>
      </c>
      <c r="C676">
        <v>0.3</v>
      </c>
      <c r="D676">
        <v>4.1509279194836921</v>
      </c>
      <c r="E676">
        <v>1.7056627782904541</v>
      </c>
      <c r="F676">
        <v>0.52857139694144828</v>
      </c>
      <c r="G676" s="166">
        <v>38.334172873180009</v>
      </c>
    </row>
    <row r="677" spans="1:7" x14ac:dyDescent="0.25">
      <c r="A677">
        <v>26</v>
      </c>
      <c r="B677">
        <v>3.5000000000000003E-2</v>
      </c>
      <c r="C677">
        <v>0.3</v>
      </c>
      <c r="D677">
        <v>4.1087618817289755</v>
      </c>
      <c r="E677">
        <v>1.6883362810586844</v>
      </c>
      <c r="F677">
        <v>0.52320205256548802</v>
      </c>
      <c r="G677" s="166">
        <v>38.011072442123151</v>
      </c>
    </row>
    <row r="678" spans="1:7" x14ac:dyDescent="0.25">
      <c r="A678">
        <v>25</v>
      </c>
      <c r="B678">
        <v>3.5000000000000003E-2</v>
      </c>
      <c r="C678">
        <v>0.3</v>
      </c>
      <c r="D678">
        <v>4.0642910879112444</v>
      </c>
      <c r="E678">
        <v>1.6700627337441436</v>
      </c>
      <c r="F678">
        <v>0.51753922486351789</v>
      </c>
      <c r="G678" s="166">
        <v>37.696188957070802</v>
      </c>
    </row>
    <row r="679" spans="1:7" x14ac:dyDescent="0.25">
      <c r="A679">
        <v>24</v>
      </c>
      <c r="B679">
        <v>3.5000000000000003E-2</v>
      </c>
      <c r="C679">
        <v>0.3</v>
      </c>
      <c r="D679">
        <v>4.0160062667146033</v>
      </c>
      <c r="E679">
        <v>1.6502219598571894</v>
      </c>
      <c r="F679">
        <v>0.51139072604926938</v>
      </c>
      <c r="G679" s="166">
        <v>37.305160395888002</v>
      </c>
    </row>
    <row r="680" spans="1:7" x14ac:dyDescent="0.25">
      <c r="A680">
        <v>23</v>
      </c>
      <c r="B680">
        <v>3.5000000000000003E-2</v>
      </c>
      <c r="C680">
        <v>0.3</v>
      </c>
      <c r="D680">
        <v>3.9628696175369842</v>
      </c>
      <c r="E680">
        <v>1.62838751550562</v>
      </c>
      <c r="F680">
        <v>0.50462440453528479</v>
      </c>
      <c r="G680" s="166">
        <v>36.823674409285545</v>
      </c>
    </row>
    <row r="681" spans="1:7" x14ac:dyDescent="0.25">
      <c r="A681">
        <v>22</v>
      </c>
      <c r="B681">
        <v>3.5000000000000003E-2</v>
      </c>
      <c r="C681">
        <v>0.3</v>
      </c>
      <c r="D681">
        <v>3.9029421705877829</v>
      </c>
      <c r="E681">
        <v>1.6037626562833134</v>
      </c>
      <c r="F681">
        <v>0.49699335553527857</v>
      </c>
      <c r="G681" s="166">
        <v>36.348391792391467</v>
      </c>
    </row>
    <row r="682" spans="1:7" x14ac:dyDescent="0.25">
      <c r="A682">
        <v>21</v>
      </c>
      <c r="B682">
        <v>3.5000000000000003E-2</v>
      </c>
      <c r="C682">
        <v>0.3</v>
      </c>
      <c r="D682">
        <v>3.835731771050034</v>
      </c>
      <c r="E682">
        <v>1.5761451502631589</v>
      </c>
      <c r="F682">
        <v>0.48843490897543579</v>
      </c>
      <c r="G682" s="166">
        <v>35.877397464435155</v>
      </c>
    </row>
    <row r="683" spans="1:7" x14ac:dyDescent="0.25">
      <c r="A683">
        <v>20</v>
      </c>
      <c r="B683">
        <v>3.5000000000000003E-2</v>
      </c>
      <c r="C683">
        <v>0.3</v>
      </c>
      <c r="D683">
        <v>3.7607441502790162</v>
      </c>
      <c r="E683">
        <v>1.5453318969225434</v>
      </c>
      <c r="F683">
        <v>0.47888612561106875</v>
      </c>
      <c r="G683" s="166">
        <v>35.409008611957219</v>
      </c>
    </row>
    <row r="684" spans="1:7" x14ac:dyDescent="0.25">
      <c r="A684">
        <v>19</v>
      </c>
      <c r="B684">
        <v>3.5000000000000003E-2</v>
      </c>
      <c r="C684">
        <v>0.3</v>
      </c>
      <c r="D684">
        <v>3.6766780867456368</v>
      </c>
      <c r="E684">
        <v>1.5107882097596688</v>
      </c>
      <c r="F684">
        <v>0.46818131032660243</v>
      </c>
      <c r="G684" s="166">
        <v>34.947093715927636</v>
      </c>
    </row>
    <row r="685" spans="1:7" x14ac:dyDescent="0.25">
      <c r="A685">
        <v>18</v>
      </c>
      <c r="B685">
        <v>3.5000000000000003E-2</v>
      </c>
      <c r="C685">
        <v>0.3</v>
      </c>
      <c r="D685">
        <v>3.5819299698931171</v>
      </c>
      <c r="E685">
        <v>1.4718551472340833</v>
      </c>
      <c r="F685">
        <v>0.456116262353296</v>
      </c>
      <c r="G685" s="166">
        <v>34.50900645211297</v>
      </c>
    </row>
    <row r="686" spans="1:7" x14ac:dyDescent="0.25">
      <c r="A686">
        <v>17</v>
      </c>
      <c r="B686">
        <v>3.5000000000000003E-2</v>
      </c>
      <c r="C686">
        <v>0.3</v>
      </c>
      <c r="D686">
        <v>3.4751926510860272</v>
      </c>
      <c r="E686">
        <v>1.4279955873296029</v>
      </c>
      <c r="F686">
        <v>0.44252453182893992</v>
      </c>
      <c r="G686" s="166">
        <v>34.098052027905403</v>
      </c>
    </row>
    <row r="687" spans="1:7" x14ac:dyDescent="0.25">
      <c r="A687">
        <v>16</v>
      </c>
      <c r="B687">
        <v>3.5000000000000003E-2</v>
      </c>
      <c r="C687">
        <v>0.3</v>
      </c>
      <c r="D687">
        <v>3.3543048630417078</v>
      </c>
      <c r="E687">
        <v>1.3783214411105791</v>
      </c>
      <c r="F687">
        <v>0.42713090702041867</v>
      </c>
      <c r="G687" s="166">
        <v>33.731008413105094</v>
      </c>
    </row>
    <row r="688" spans="1:7" x14ac:dyDescent="0.25">
      <c r="A688">
        <v>15</v>
      </c>
      <c r="B688">
        <v>3.5000000000000003E-2</v>
      </c>
      <c r="C688">
        <v>0.3</v>
      </c>
      <c r="D688">
        <v>3.2163784754143769</v>
      </c>
      <c r="E688">
        <v>1.3216459434668473</v>
      </c>
      <c r="F688">
        <v>0.40956761881175863</v>
      </c>
      <c r="G688" s="166">
        <v>33.436873221768323</v>
      </c>
    </row>
    <row r="689" spans="1:7" x14ac:dyDescent="0.25">
      <c r="A689">
        <v>14</v>
      </c>
      <c r="B689">
        <v>3.5000000000000003E-2</v>
      </c>
      <c r="C689">
        <v>0.3</v>
      </c>
      <c r="D689">
        <v>3.0583586912560348</v>
      </c>
      <c r="E689">
        <v>1.2567138441144932</v>
      </c>
      <c r="F689">
        <v>0.38944567507361</v>
      </c>
      <c r="G689" s="166">
        <v>33.249257553231942</v>
      </c>
    </row>
    <row r="690" spans="1:7" x14ac:dyDescent="0.25">
      <c r="A690">
        <v>13</v>
      </c>
      <c r="B690">
        <v>3.5000000000000003E-2</v>
      </c>
      <c r="C690">
        <v>0.3</v>
      </c>
      <c r="D690">
        <v>2.8752312160714659</v>
      </c>
      <c r="E690">
        <v>1.1814647132783498</v>
      </c>
      <c r="F690">
        <v>0.36612656492420809</v>
      </c>
      <c r="G690" s="166">
        <v>33.2260141903338</v>
      </c>
    </row>
    <row r="691" spans="1:7" x14ac:dyDescent="0.25">
      <c r="A691">
        <v>12</v>
      </c>
      <c r="B691">
        <v>3.5000000000000003E-2</v>
      </c>
      <c r="C691">
        <v>0.3</v>
      </c>
      <c r="D691">
        <v>2.6671198465746642</v>
      </c>
      <c r="E691">
        <v>1.0959494204148932</v>
      </c>
      <c r="F691">
        <v>0.33962605240555055</v>
      </c>
      <c r="G691" s="166">
        <v>33.123672843182142</v>
      </c>
    </row>
    <row r="692" spans="1:7" x14ac:dyDescent="0.25">
      <c r="A692">
        <v>11</v>
      </c>
      <c r="B692">
        <v>3.5000000000000003E-2</v>
      </c>
      <c r="C692">
        <v>0.3</v>
      </c>
      <c r="D692">
        <v>2.4514664918896081</v>
      </c>
      <c r="E692">
        <v>1.0073350413568436</v>
      </c>
      <c r="F692">
        <v>0.31216515760033126</v>
      </c>
      <c r="G692" s="166">
        <v>33.049322883438336</v>
      </c>
    </row>
    <row r="693" spans="1:7" x14ac:dyDescent="0.25">
      <c r="A693">
        <v>10</v>
      </c>
      <c r="B693">
        <v>3.5000000000000003E-2</v>
      </c>
      <c r="C693">
        <v>0.3</v>
      </c>
      <c r="D693">
        <v>2.2358131372045529</v>
      </c>
      <c r="E693">
        <v>0.91872066229879423</v>
      </c>
      <c r="F693">
        <v>0.28470426279511196</v>
      </c>
      <c r="G693" s="166">
        <v>32.960630206074136</v>
      </c>
    </row>
    <row r="694" spans="1:7" x14ac:dyDescent="0.25">
      <c r="A694">
        <v>9</v>
      </c>
      <c r="B694">
        <v>3.5000000000000003E-2</v>
      </c>
      <c r="C694">
        <v>0.3</v>
      </c>
      <c r="D694">
        <v>2.0201597825194968</v>
      </c>
      <c r="E694">
        <v>0.83010628324074454</v>
      </c>
      <c r="F694">
        <v>0.25724336798989261</v>
      </c>
      <c r="G694" s="166">
        <v>32.85300152812713</v>
      </c>
    </row>
    <row r="695" spans="1:7" x14ac:dyDescent="0.25">
      <c r="A695">
        <v>8</v>
      </c>
      <c r="B695">
        <v>3.5000000000000003E-2</v>
      </c>
      <c r="C695">
        <v>0.3</v>
      </c>
      <c r="D695">
        <v>1.8045064278344405</v>
      </c>
      <c r="E695">
        <v>0.74149190418269473</v>
      </c>
      <c r="F695">
        <v>0.22978247318467324</v>
      </c>
      <c r="G695" s="166">
        <v>32.719647826315914</v>
      </c>
    </row>
    <row r="696" spans="1:7" x14ac:dyDescent="0.25">
      <c r="A696">
        <v>7</v>
      </c>
      <c r="B696">
        <v>3.5000000000000003E-2</v>
      </c>
      <c r="C696">
        <v>0.3</v>
      </c>
      <c r="D696">
        <v>1.5888530731493853</v>
      </c>
      <c r="E696">
        <v>0.65287752512464547</v>
      </c>
      <c r="F696">
        <v>0.202321578379454</v>
      </c>
      <c r="G696" s="166">
        <v>32.550094209432281</v>
      </c>
    </row>
    <row r="697" spans="1:7" x14ac:dyDescent="0.25">
      <c r="A697">
        <v>6</v>
      </c>
      <c r="B697">
        <v>3.5000000000000003E-2</v>
      </c>
      <c r="C697">
        <v>0.3</v>
      </c>
      <c r="D697">
        <v>1.3729007307612902</v>
      </c>
      <c r="E697">
        <v>0.56414028867033827</v>
      </c>
      <c r="F697">
        <v>0.17482261103938723</v>
      </c>
      <c r="G697" s="166">
        <v>32.331577247454945</v>
      </c>
    </row>
    <row r="698" spans="1:7" x14ac:dyDescent="0.25">
      <c r="A698">
        <v>5</v>
      </c>
      <c r="B698">
        <v>3.5000000000000003E-2</v>
      </c>
      <c r="C698">
        <v>0.3</v>
      </c>
      <c r="D698">
        <v>1.1569070386599571</v>
      </c>
      <c r="E698">
        <v>0.47538606115568727</v>
      </c>
      <c r="F698">
        <v>0.14731837830418151</v>
      </c>
      <c r="G698" s="166">
        <v>32.032178664431427</v>
      </c>
    </row>
    <row r="699" spans="1:7" x14ac:dyDescent="0.25">
      <c r="A699">
        <v>4</v>
      </c>
      <c r="B699">
        <v>3.5000000000000003E-2</v>
      </c>
      <c r="C699">
        <v>0.3</v>
      </c>
      <c r="D699">
        <v>0.94064910319822692</v>
      </c>
      <c r="E699">
        <v>0.38652325308435537</v>
      </c>
      <c r="F699">
        <v>0.119780497313731</v>
      </c>
      <c r="G699" s="166">
        <v>31.600889215483562</v>
      </c>
    </row>
    <row r="700" spans="1:7" x14ac:dyDescent="0.25">
      <c r="A700">
        <v>3</v>
      </c>
      <c r="B700">
        <v>3.5000000000000003E-2</v>
      </c>
      <c r="C700">
        <v>0.3</v>
      </c>
      <c r="D700">
        <v>0.72391173837161615</v>
      </c>
      <c r="E700">
        <v>0.29746344211671732</v>
      </c>
      <c r="F700">
        <v>9.2181566684730931E-2</v>
      </c>
      <c r="G700" s="166">
        <v>30.925002865385864</v>
      </c>
    </row>
    <row r="701" spans="1:7" x14ac:dyDescent="0.25">
      <c r="A701">
        <v>2</v>
      </c>
      <c r="B701">
        <v>3.5000000000000003E-2</v>
      </c>
      <c r="C701">
        <v>0.3</v>
      </c>
      <c r="D701">
        <v>0.5060148739017345</v>
      </c>
      <c r="E701">
        <v>0.20792717975764818</v>
      </c>
      <c r="F701">
        <v>6.4434987540005012E-2</v>
      </c>
      <c r="G701" s="166">
        <v>29.715400975855189</v>
      </c>
    </row>
    <row r="702" spans="1:7" x14ac:dyDescent="0.25">
      <c r="A702">
        <v>1</v>
      </c>
      <c r="B702">
        <v>3.5000000000000003E-2</v>
      </c>
      <c r="C702">
        <v>0.3</v>
      </c>
      <c r="D702">
        <v>0.28412649513405114</v>
      </c>
      <c r="E702">
        <v>0.11675075946309234</v>
      </c>
      <c r="F702">
        <v>3.618013643073887E-2</v>
      </c>
      <c r="G702" s="166">
        <v>26.92048460870549</v>
      </c>
    </row>
    <row r="703" spans="1:7" x14ac:dyDescent="0.25">
      <c r="A703">
        <v>50</v>
      </c>
      <c r="B703">
        <v>3.0000000000000002E-2</v>
      </c>
      <c r="C703">
        <v>0.3</v>
      </c>
      <c r="D703">
        <v>4.6882744427314194</v>
      </c>
      <c r="E703">
        <v>1.926464483722486</v>
      </c>
      <c r="F703">
        <v>0.59699609810320931</v>
      </c>
      <c r="G703" s="166">
        <v>43.300586301068691</v>
      </c>
    </row>
    <row r="704" spans="1:7" x14ac:dyDescent="0.25">
      <c r="A704">
        <v>49</v>
      </c>
      <c r="B704">
        <v>3.0000000000000002E-2</v>
      </c>
      <c r="C704">
        <v>0.3</v>
      </c>
      <c r="D704">
        <v>4.6728407922631634</v>
      </c>
      <c r="E704">
        <v>1.9201226238666964</v>
      </c>
      <c r="F704">
        <v>0.59503080592128021</v>
      </c>
      <c r="G704" s="166">
        <v>43.127170892325601</v>
      </c>
    </row>
    <row r="705" spans="1:7" x14ac:dyDescent="0.25">
      <c r="A705">
        <v>48</v>
      </c>
      <c r="B705">
        <v>3.0000000000000002E-2</v>
      </c>
      <c r="C705">
        <v>0.3</v>
      </c>
      <c r="D705">
        <v>4.6568803742052109</v>
      </c>
      <c r="E705">
        <v>1.9135643093077699</v>
      </c>
      <c r="F705">
        <v>0.59299843613979997</v>
      </c>
      <c r="G705" s="166">
        <v>42.95805148797421</v>
      </c>
    </row>
    <row r="706" spans="1:7" x14ac:dyDescent="0.25">
      <c r="A706">
        <v>47</v>
      </c>
      <c r="B706">
        <v>3.0000000000000002E-2</v>
      </c>
      <c r="C706">
        <v>0.3</v>
      </c>
      <c r="D706">
        <v>4.6409199561472576</v>
      </c>
      <c r="E706">
        <v>1.9070059947488429</v>
      </c>
      <c r="F706">
        <v>0.5909660663583195</v>
      </c>
      <c r="G706" s="166">
        <v>42.787768858908478</v>
      </c>
    </row>
    <row r="707" spans="1:7" x14ac:dyDescent="0.25">
      <c r="A707">
        <v>46</v>
      </c>
      <c r="B707">
        <v>3.0000000000000002E-2</v>
      </c>
      <c r="C707">
        <v>0.3</v>
      </c>
      <c r="D707">
        <v>4.6239656170162053</v>
      </c>
      <c r="E707">
        <v>1.9000392668876793</v>
      </c>
      <c r="F707">
        <v>0.58880713252652372</v>
      </c>
      <c r="G707" s="166">
        <v>42.618432476701535</v>
      </c>
    </row>
    <row r="708" spans="1:7" x14ac:dyDescent="0.25">
      <c r="A708">
        <v>45</v>
      </c>
      <c r="B708">
        <v>3.0000000000000002E-2</v>
      </c>
      <c r="C708">
        <v>0.3</v>
      </c>
      <c r="D708">
        <v>4.6065356075736039</v>
      </c>
      <c r="E708">
        <v>1.8928770807673301</v>
      </c>
      <c r="F708">
        <v>0.58658762772699824</v>
      </c>
      <c r="G708" s="166">
        <v>42.417281348734548</v>
      </c>
    </row>
    <row r="709" spans="1:7" x14ac:dyDescent="0.25">
      <c r="A709">
        <v>44</v>
      </c>
      <c r="B709">
        <v>3.0000000000000002E-2</v>
      </c>
      <c r="C709">
        <v>0.3</v>
      </c>
      <c r="D709">
        <v>4.5876506364384904</v>
      </c>
      <c r="E709">
        <v>1.88511703458993</v>
      </c>
      <c r="F709">
        <v>0.58418285082705923</v>
      </c>
      <c r="G709" s="166">
        <v>42.229527820974774</v>
      </c>
    </row>
    <row r="710" spans="1:7" x14ac:dyDescent="0.25">
      <c r="A710">
        <v>43</v>
      </c>
      <c r="B710">
        <v>3.0000000000000002E-2</v>
      </c>
      <c r="C710">
        <v>0.3</v>
      </c>
      <c r="D710">
        <v>4.5687656653033768</v>
      </c>
      <c r="E710">
        <v>1.8773569884125298</v>
      </c>
      <c r="F710">
        <v>0.58177807392712033</v>
      </c>
      <c r="G710" s="166">
        <v>42.040222136588028</v>
      </c>
    </row>
    <row r="711" spans="1:7" x14ac:dyDescent="0.25">
      <c r="A711">
        <v>42</v>
      </c>
      <c r="B711">
        <v>3.0000000000000002E-2</v>
      </c>
      <c r="C711">
        <v>0.3</v>
      </c>
      <c r="D711">
        <v>4.5491310558427482</v>
      </c>
      <c r="E711">
        <v>1.8692889074501822</v>
      </c>
      <c r="F711">
        <v>0.57927783948501155</v>
      </c>
      <c r="G711" s="166">
        <v>41.847828007782994</v>
      </c>
    </row>
    <row r="712" spans="1:7" x14ac:dyDescent="0.25">
      <c r="A712">
        <v>41</v>
      </c>
      <c r="B712">
        <v>3.0000000000000002E-2</v>
      </c>
      <c r="C712">
        <v>0.3</v>
      </c>
      <c r="D712">
        <v>4.5284174054685096</v>
      </c>
      <c r="E712">
        <v>1.8607774364896708</v>
      </c>
      <c r="F712">
        <v>0.57664020199131349</v>
      </c>
      <c r="G712" s="166">
        <v>41.628652222704424</v>
      </c>
    </row>
    <row r="713" spans="1:7" x14ac:dyDescent="0.25">
      <c r="A713">
        <v>40</v>
      </c>
      <c r="B713">
        <v>3.0000000000000002E-2</v>
      </c>
      <c r="C713">
        <v>0.3</v>
      </c>
      <c r="D713">
        <v>4.5063257029697201</v>
      </c>
      <c r="E713">
        <v>1.8516997084750786</v>
      </c>
      <c r="F713">
        <v>0.57382708591772669</v>
      </c>
      <c r="G713" s="166">
        <v>41.421510082918587</v>
      </c>
    </row>
    <row r="714" spans="1:7" x14ac:dyDescent="0.25">
      <c r="A714">
        <v>39</v>
      </c>
      <c r="B714">
        <v>3.0000000000000002E-2</v>
      </c>
      <c r="C714">
        <v>0.3</v>
      </c>
      <c r="D714">
        <v>4.4842340004709333</v>
      </c>
      <c r="E714">
        <v>1.8426219804604869</v>
      </c>
      <c r="F714">
        <v>0.5710139698441401</v>
      </c>
      <c r="G714" s="166">
        <v>41.212326960201587</v>
      </c>
    </row>
    <row r="715" spans="1:7" x14ac:dyDescent="0.25">
      <c r="A715">
        <v>38</v>
      </c>
      <c r="B715">
        <v>3.0000000000000002E-2</v>
      </c>
      <c r="C715">
        <v>0.3</v>
      </c>
      <c r="D715">
        <v>4.4607666125389871</v>
      </c>
      <c r="E715">
        <v>1.8329789678918174</v>
      </c>
      <c r="F715">
        <v>0.56802567656071967</v>
      </c>
      <c r="G715" s="166">
        <v>40.979581024199447</v>
      </c>
    </row>
    <row r="716" spans="1:7" x14ac:dyDescent="0.25">
      <c r="A716">
        <v>37</v>
      </c>
      <c r="B716">
        <v>3.0000000000000002E-2</v>
      </c>
      <c r="C716">
        <v>0.3</v>
      </c>
      <c r="D716">
        <v>4.4354222199655293</v>
      </c>
      <c r="E716">
        <v>1.822564673090884</v>
      </c>
      <c r="F716">
        <v>0.56479836901719305</v>
      </c>
      <c r="G716" s="166">
        <v>40.751968483743099</v>
      </c>
    </row>
    <row r="717" spans="1:7" x14ac:dyDescent="0.25">
      <c r="A717">
        <v>36</v>
      </c>
      <c r="B717">
        <v>3.0000000000000002E-2</v>
      </c>
      <c r="C717">
        <v>0.3</v>
      </c>
      <c r="D717">
        <v>4.4098329092786068</v>
      </c>
      <c r="E717">
        <v>1.812049738693704</v>
      </c>
      <c r="F717">
        <v>0.56153987405921801</v>
      </c>
      <c r="G717" s="166">
        <v>40.524225486475515</v>
      </c>
    </row>
    <row r="718" spans="1:7" x14ac:dyDescent="0.25">
      <c r="A718">
        <v>35</v>
      </c>
      <c r="B718">
        <v>3.0000000000000002E-2</v>
      </c>
      <c r="C718">
        <v>0.3</v>
      </c>
      <c r="D718">
        <v>4.3830017993828196</v>
      </c>
      <c r="E718">
        <v>1.8010245350917204</v>
      </c>
      <c r="F718">
        <v>0.55812325071277602</v>
      </c>
      <c r="G718" s="166">
        <v>40.270246645602931</v>
      </c>
    </row>
    <row r="719" spans="1:7" x14ac:dyDescent="0.25">
      <c r="A719">
        <v>34</v>
      </c>
      <c r="B719">
        <v>3.0000000000000002E-2</v>
      </c>
      <c r="C719">
        <v>0.3</v>
      </c>
      <c r="D719">
        <v>4.3537410102919205</v>
      </c>
      <c r="E719">
        <v>1.7890009490926744</v>
      </c>
      <c r="F719">
        <v>0.55439723656235218</v>
      </c>
      <c r="G719" s="166">
        <v>40.025437982925517</v>
      </c>
    </row>
    <row r="720" spans="1:7" x14ac:dyDescent="0.25">
      <c r="A720">
        <v>33</v>
      </c>
      <c r="B720">
        <v>3.0000000000000002E-2</v>
      </c>
      <c r="C720">
        <v>0.3</v>
      </c>
      <c r="D720">
        <v>4.3243342892161518</v>
      </c>
      <c r="E720">
        <v>1.7769173980064039</v>
      </c>
      <c r="F720">
        <v>0.55065263970594136</v>
      </c>
      <c r="G720" s="166">
        <v>39.77384733607996</v>
      </c>
    </row>
    <row r="721" spans="1:7" x14ac:dyDescent="0.25">
      <c r="A721">
        <v>32</v>
      </c>
      <c r="B721">
        <v>3.0000000000000002E-2</v>
      </c>
      <c r="C721">
        <v>0.3</v>
      </c>
      <c r="D721">
        <v>4.2923609827058682</v>
      </c>
      <c r="E721">
        <v>1.7637792082157591</v>
      </c>
      <c r="F721">
        <v>0.54658121866110665</v>
      </c>
      <c r="G721" s="166">
        <v>39.499910989679805</v>
      </c>
    </row>
    <row r="722" spans="1:7" x14ac:dyDescent="0.25">
      <c r="A722">
        <v>31</v>
      </c>
      <c r="B722">
        <v>3.0000000000000002E-2</v>
      </c>
      <c r="C722">
        <v>0.3</v>
      </c>
      <c r="D722">
        <v>4.2588679079664473</v>
      </c>
      <c r="E722">
        <v>1.7500165286362408</v>
      </c>
      <c r="F722">
        <v>0.54231627317270559</v>
      </c>
      <c r="G722" s="166">
        <v>39.237153374133186</v>
      </c>
    </row>
    <row r="723" spans="1:7" x14ac:dyDescent="0.25">
      <c r="A723">
        <v>30</v>
      </c>
      <c r="B723">
        <v>3.0000000000000002E-2</v>
      </c>
      <c r="C723">
        <v>0.3</v>
      </c>
      <c r="D723">
        <v>4.2241210423173534</v>
      </c>
      <c r="E723">
        <v>1.7357386523277334</v>
      </c>
      <c r="F723">
        <v>0.53789167229508716</v>
      </c>
      <c r="G723" s="166">
        <v>38.944603962872769</v>
      </c>
    </row>
    <row r="724" spans="1:7" x14ac:dyDescent="0.25">
      <c r="A724">
        <v>29</v>
      </c>
      <c r="B724">
        <v>3.0000000000000002E-2</v>
      </c>
      <c r="C724">
        <v>0.3</v>
      </c>
      <c r="D724">
        <v>4.1862032752356155</v>
      </c>
      <c r="E724">
        <v>1.7201578171020395</v>
      </c>
      <c r="F724">
        <v>0.53306329476021841</v>
      </c>
      <c r="G724" s="166">
        <v>38.666352567453998</v>
      </c>
    </row>
    <row r="725" spans="1:7" x14ac:dyDescent="0.25">
      <c r="A725">
        <v>28</v>
      </c>
      <c r="B725">
        <v>3.0000000000000002E-2</v>
      </c>
      <c r="C725">
        <v>0.3</v>
      </c>
      <c r="D725">
        <v>4.14738105315016</v>
      </c>
      <c r="E725">
        <v>1.7042053311841623</v>
      </c>
      <c r="F725">
        <v>0.52811974561696251</v>
      </c>
      <c r="G725" s="166">
        <v>38.35796857399491</v>
      </c>
    </row>
    <row r="726" spans="1:7" x14ac:dyDescent="0.25">
      <c r="A726">
        <v>27</v>
      </c>
      <c r="B726">
        <v>3.0000000000000002E-2</v>
      </c>
      <c r="C726">
        <v>0.3</v>
      </c>
      <c r="D726">
        <v>4.1047106327437772</v>
      </c>
      <c r="E726">
        <v>1.6866715774710348</v>
      </c>
      <c r="F726">
        <v>0.52268617409758866</v>
      </c>
      <c r="G726" s="166">
        <v>38.064456567505943</v>
      </c>
    </row>
    <row r="727" spans="1:7" x14ac:dyDescent="0.25">
      <c r="A727">
        <v>26</v>
      </c>
      <c r="B727">
        <v>3.0000000000000002E-2</v>
      </c>
      <c r="C727">
        <v>0.3</v>
      </c>
      <c r="D727">
        <v>4.0603984544053651</v>
      </c>
      <c r="E727">
        <v>1.6684632070336605</v>
      </c>
      <c r="F727">
        <v>0.51704354419406429</v>
      </c>
      <c r="G727" s="166">
        <v>37.720267010064852</v>
      </c>
    </row>
    <row r="728" spans="1:7" x14ac:dyDescent="0.25">
      <c r="A728">
        <v>25</v>
      </c>
      <c r="B728">
        <v>3.0000000000000002E-2</v>
      </c>
      <c r="C728">
        <v>0.3</v>
      </c>
      <c r="D728">
        <v>4.0106916639863881</v>
      </c>
      <c r="E728">
        <v>1.6480381300652123</v>
      </c>
      <c r="F728">
        <v>0.51071397447884193</v>
      </c>
      <c r="G728" s="166">
        <v>37.265294902597034</v>
      </c>
    </row>
    <row r="729" spans="1:7" x14ac:dyDescent="0.25">
      <c r="A729">
        <v>24</v>
      </c>
      <c r="B729">
        <v>3.0000000000000002E-2</v>
      </c>
      <c r="C729">
        <v>0.3</v>
      </c>
      <c r="D729">
        <v>3.9555250255052097</v>
      </c>
      <c r="E729">
        <v>1.6253695403701025</v>
      </c>
      <c r="F729">
        <v>0.50368915792404445</v>
      </c>
      <c r="G729" s="166">
        <v>36.807056327642186</v>
      </c>
    </row>
    <row r="730" spans="1:7" x14ac:dyDescent="0.25">
      <c r="A730">
        <v>23</v>
      </c>
      <c r="B730">
        <v>3.0000000000000002E-2</v>
      </c>
      <c r="C730">
        <v>0.3</v>
      </c>
      <c r="D730">
        <v>3.8931543189053346</v>
      </c>
      <c r="E730">
        <v>1.5997407183894226</v>
      </c>
      <c r="F730">
        <v>0.49574698881024737</v>
      </c>
      <c r="G730" s="166">
        <v>36.357644196659678</v>
      </c>
    </row>
    <row r="731" spans="1:7" x14ac:dyDescent="0.25">
      <c r="A731">
        <v>22</v>
      </c>
      <c r="B731">
        <v>3.0000000000000002E-2</v>
      </c>
      <c r="C731">
        <v>0.3</v>
      </c>
      <c r="D731">
        <v>3.8229540641095552</v>
      </c>
      <c r="E731">
        <v>1.5708946473532002</v>
      </c>
      <c r="F731">
        <v>0.48680781967438197</v>
      </c>
      <c r="G731" s="166">
        <v>35.917567853946778</v>
      </c>
    </row>
    <row r="732" spans="1:7" x14ac:dyDescent="0.25">
      <c r="A732">
        <v>21</v>
      </c>
      <c r="B732">
        <v>3.0000000000000002E-2</v>
      </c>
      <c r="C732">
        <v>0.3</v>
      </c>
      <c r="D732">
        <v>3.7447013412024757</v>
      </c>
      <c r="E732">
        <v>1.5387397269711847</v>
      </c>
      <c r="F732">
        <v>0.47684326431139412</v>
      </c>
      <c r="G732" s="166">
        <v>35.481012548452703</v>
      </c>
    </row>
    <row r="733" spans="1:7" x14ac:dyDescent="0.25">
      <c r="A733">
        <v>20</v>
      </c>
      <c r="B733">
        <v>3.0000000000000002E-2</v>
      </c>
      <c r="C733">
        <v>0.3</v>
      </c>
      <c r="D733">
        <v>3.6560756181603669</v>
      </c>
      <c r="E733">
        <v>1.5023224246416358</v>
      </c>
      <c r="F733">
        <v>0.46555783051394578</v>
      </c>
      <c r="G733" s="166">
        <v>35.071544375387788</v>
      </c>
    </row>
    <row r="734" spans="1:7" x14ac:dyDescent="0.25">
      <c r="A734">
        <v>19</v>
      </c>
      <c r="B734">
        <v>3.0000000000000002E-2</v>
      </c>
      <c r="C734">
        <v>0.3</v>
      </c>
      <c r="D734">
        <v>3.5566040898074891</v>
      </c>
      <c r="E734">
        <v>1.4614484594217649</v>
      </c>
      <c r="F734">
        <v>0.45289131215534195</v>
      </c>
      <c r="G734" s="166">
        <v>34.688691774404518</v>
      </c>
    </row>
    <row r="735" spans="1:7" x14ac:dyDescent="0.25">
      <c r="A735">
        <v>18</v>
      </c>
      <c r="B735">
        <v>3.0000000000000002E-2</v>
      </c>
      <c r="C735">
        <v>0.3</v>
      </c>
      <c r="D735">
        <v>3.4441077721693447</v>
      </c>
      <c r="E735">
        <v>1.4152224623887955</v>
      </c>
      <c r="F735">
        <v>0.43856624149206741</v>
      </c>
      <c r="G735" s="166">
        <v>34.349546557156955</v>
      </c>
    </row>
    <row r="736" spans="1:7" x14ac:dyDescent="0.25">
      <c r="A736">
        <v>17</v>
      </c>
      <c r="B736">
        <v>3.0000000000000002E-2</v>
      </c>
      <c r="C736">
        <v>0.3</v>
      </c>
      <c r="D736">
        <v>3.3162173838745499</v>
      </c>
      <c r="E736">
        <v>1.3626708692879743</v>
      </c>
      <c r="F736">
        <v>0.42228091866603956</v>
      </c>
      <c r="G736" s="166">
        <v>34.077946827382668</v>
      </c>
    </row>
    <row r="737" spans="1:7" x14ac:dyDescent="0.25">
      <c r="A737">
        <v>16</v>
      </c>
      <c r="B737">
        <v>3.0000000000000002E-2</v>
      </c>
      <c r="C737">
        <v>0.3</v>
      </c>
      <c r="D737">
        <v>3.1705109569858307</v>
      </c>
      <c r="E737">
        <v>1.3027984663644614</v>
      </c>
      <c r="F737">
        <v>0.40372693481042571</v>
      </c>
      <c r="G737" s="166">
        <v>33.90497425689842</v>
      </c>
    </row>
    <row r="738" spans="1:7" x14ac:dyDescent="0.25">
      <c r="A738">
        <v>15</v>
      </c>
      <c r="B738">
        <v>3.0000000000000002E-2</v>
      </c>
      <c r="C738">
        <v>0.3</v>
      </c>
      <c r="D738">
        <v>3.0028430166279398</v>
      </c>
      <c r="E738">
        <v>1.2339018315569241</v>
      </c>
      <c r="F738">
        <v>0.38237641290873747</v>
      </c>
      <c r="G738" s="166">
        <v>33.868498895574994</v>
      </c>
    </row>
    <row r="739" spans="1:7" x14ac:dyDescent="0.25">
      <c r="A739">
        <v>14</v>
      </c>
      <c r="B739">
        <v>3.0000000000000002E-2</v>
      </c>
      <c r="C739">
        <v>0.3</v>
      </c>
      <c r="D739">
        <v>2.81433642018431</v>
      </c>
      <c r="E739">
        <v>1.1564423595417819</v>
      </c>
      <c r="F739">
        <v>0.35837233551987235</v>
      </c>
      <c r="G739" s="166">
        <v>33.753283845748264</v>
      </c>
    </row>
    <row r="740" spans="1:7" x14ac:dyDescent="0.25">
      <c r="A740">
        <v>13</v>
      </c>
      <c r="B740">
        <v>3.0000000000000002E-2</v>
      </c>
      <c r="C740">
        <v>0.3</v>
      </c>
      <c r="D740">
        <v>2.6187789928920133</v>
      </c>
      <c r="E740">
        <v>1.076085622151796</v>
      </c>
      <c r="F740">
        <v>0.33347041851934256</v>
      </c>
      <c r="G740" s="166">
        <v>33.692296882798935</v>
      </c>
    </row>
    <row r="741" spans="1:7" x14ac:dyDescent="0.25">
      <c r="A741">
        <v>12</v>
      </c>
      <c r="B741">
        <v>3.0000000000000002E-2</v>
      </c>
      <c r="C741">
        <v>0.3</v>
      </c>
      <c r="D741">
        <v>2.4232068151545194</v>
      </c>
      <c r="E741">
        <v>0.99572282363865272</v>
      </c>
      <c r="F741">
        <v>0.30856662322471201</v>
      </c>
      <c r="G741" s="166">
        <v>33.621603638970491</v>
      </c>
    </row>
    <row r="742" spans="1:7" x14ac:dyDescent="0.25">
      <c r="A742">
        <v>11</v>
      </c>
      <c r="B742">
        <v>3.0000000000000002E-2</v>
      </c>
      <c r="C742">
        <v>0.3</v>
      </c>
      <c r="D742">
        <v>2.2276346374170228</v>
      </c>
      <c r="E742">
        <v>0.91536002512550863</v>
      </c>
      <c r="F742">
        <v>0.28366282793008119</v>
      </c>
      <c r="G742" s="166">
        <v>33.538497559199747</v>
      </c>
    </row>
    <row r="743" spans="1:7" x14ac:dyDescent="0.25">
      <c r="A743">
        <v>10</v>
      </c>
      <c r="B743">
        <v>3.0000000000000002E-2</v>
      </c>
      <c r="C743">
        <v>0.3</v>
      </c>
      <c r="D743">
        <v>2.0320624596795303</v>
      </c>
      <c r="E743">
        <v>0.83499722661236597</v>
      </c>
      <c r="F743">
        <v>0.25875903263545086</v>
      </c>
      <c r="G743" s="166">
        <v>33.439394690622983</v>
      </c>
    </row>
    <row r="744" spans="1:7" x14ac:dyDescent="0.25">
      <c r="A744">
        <v>9</v>
      </c>
      <c r="B744">
        <v>3.0000000000000002E-2</v>
      </c>
      <c r="C744">
        <v>0.3</v>
      </c>
      <c r="D744">
        <v>1.8364902819420343</v>
      </c>
      <c r="E744">
        <v>0.7546344280992221</v>
      </c>
      <c r="F744">
        <v>0.23385523734082009</v>
      </c>
      <c r="G744" s="166">
        <v>33.319184426033175</v>
      </c>
    </row>
    <row r="745" spans="1:7" x14ac:dyDescent="0.25">
      <c r="A745">
        <v>8</v>
      </c>
      <c r="B745">
        <v>3.0000000000000002E-2</v>
      </c>
      <c r="C745">
        <v>0.3</v>
      </c>
      <c r="D745">
        <v>1.6409181042045398</v>
      </c>
      <c r="E745">
        <v>0.67427162958607867</v>
      </c>
      <c r="F745">
        <v>0.20895144204618948</v>
      </c>
      <c r="G745" s="166">
        <v>33.170319735397378</v>
      </c>
    </row>
    <row r="746" spans="1:7" x14ac:dyDescent="0.25">
      <c r="A746">
        <v>7</v>
      </c>
      <c r="B746">
        <v>3.0000000000000002E-2</v>
      </c>
      <c r="C746">
        <v>0.3</v>
      </c>
      <c r="D746">
        <v>1.4453459264670447</v>
      </c>
      <c r="E746">
        <v>0.59390883107293502</v>
      </c>
      <c r="F746">
        <v>0.18404764675155882</v>
      </c>
      <c r="G746" s="166">
        <v>32.981168783593581</v>
      </c>
    </row>
    <row r="747" spans="1:7" x14ac:dyDescent="0.25">
      <c r="A747">
        <v>6</v>
      </c>
      <c r="B747">
        <v>3.0000000000000002E-2</v>
      </c>
      <c r="C747">
        <v>0.3</v>
      </c>
      <c r="D747">
        <v>1.2494832698946159</v>
      </c>
      <c r="E747">
        <v>0.51342667155274957</v>
      </c>
      <c r="F747">
        <v>0.15910686242542943</v>
      </c>
      <c r="G747" s="166">
        <v>32.738024978224487</v>
      </c>
    </row>
    <row r="748" spans="1:7" x14ac:dyDescent="0.25">
      <c r="A748">
        <v>5</v>
      </c>
      <c r="B748">
        <v>3.0000000000000002E-2</v>
      </c>
      <c r="C748">
        <v>0.3</v>
      </c>
      <c r="D748">
        <v>1.0535900718565854</v>
      </c>
      <c r="E748">
        <v>0.4329319622022415</v>
      </c>
      <c r="F748">
        <v>0.13416218900619822</v>
      </c>
      <c r="G748" s="166">
        <v>32.405122442943053</v>
      </c>
    </row>
    <row r="749" spans="1:7" x14ac:dyDescent="0.25">
      <c r="A749">
        <v>4</v>
      </c>
      <c r="B749">
        <v>3.0000000000000002E-2</v>
      </c>
      <c r="C749">
        <v>0.3</v>
      </c>
      <c r="D749">
        <v>0.85743169845180223</v>
      </c>
      <c r="E749">
        <v>0.35232828932320115</v>
      </c>
      <c r="F749">
        <v>0.1091837486517762</v>
      </c>
      <c r="G749" s="166">
        <v>31.927042475883873</v>
      </c>
    </row>
    <row r="750" spans="1:7" x14ac:dyDescent="0.25">
      <c r="A750">
        <v>3</v>
      </c>
      <c r="B750">
        <v>3.0000000000000002E-2</v>
      </c>
      <c r="C750">
        <v>0.3</v>
      </c>
      <c r="D750">
        <v>0.6608150556640614</v>
      </c>
      <c r="E750">
        <v>0.27153630842144816</v>
      </c>
      <c r="F750">
        <v>8.414695313132288E-2</v>
      </c>
      <c r="G750" s="166">
        <v>31.180481833329882</v>
      </c>
    </row>
    <row r="751" spans="1:7" x14ac:dyDescent="0.25">
      <c r="A751">
        <v>2</v>
      </c>
      <c r="B751">
        <v>3.0000000000000002E-2</v>
      </c>
      <c r="C751">
        <v>0.3</v>
      </c>
      <c r="D751">
        <v>0.46306440206660804</v>
      </c>
      <c r="E751">
        <v>0.19027834977548366</v>
      </c>
      <c r="F751">
        <v>5.896575479553208E-2</v>
      </c>
      <c r="G751" s="166">
        <v>29.853541923460032</v>
      </c>
    </row>
    <row r="752" spans="1:7" x14ac:dyDescent="0.25">
      <c r="A752">
        <v>1</v>
      </c>
      <c r="B752">
        <v>3.0000000000000002E-2</v>
      </c>
      <c r="C752">
        <v>0.3</v>
      </c>
      <c r="D752">
        <v>0.26136898825829197</v>
      </c>
      <c r="E752">
        <v>0.10739944497206652</v>
      </c>
      <c r="F752">
        <v>3.3282238073178171E-2</v>
      </c>
      <c r="G752" s="166">
        <v>26.835801289503184</v>
      </c>
    </row>
    <row r="753" spans="1:7" x14ac:dyDescent="0.25">
      <c r="A753">
        <v>50</v>
      </c>
      <c r="B753">
        <v>2.5000000000000001E-2</v>
      </c>
      <c r="C753">
        <v>0.3</v>
      </c>
      <c r="D753">
        <v>4.669516340480703</v>
      </c>
      <c r="E753">
        <v>1.9187565693907926</v>
      </c>
      <c r="F753">
        <v>0.59460747644970069</v>
      </c>
      <c r="G753" s="166">
        <v>43.114964174795453</v>
      </c>
    </row>
    <row r="754" spans="1:7" x14ac:dyDescent="0.25">
      <c r="A754">
        <v>49</v>
      </c>
      <c r="B754">
        <v>2.5000000000000001E-2</v>
      </c>
      <c r="C754">
        <v>0.3</v>
      </c>
      <c r="D754">
        <v>4.6539379296892651</v>
      </c>
      <c r="E754">
        <v>1.9123552258966907</v>
      </c>
      <c r="F754">
        <v>0.59262375075899254</v>
      </c>
      <c r="G754" s="166">
        <v>42.949290758913136</v>
      </c>
    </row>
    <row r="755" spans="1:7" x14ac:dyDescent="0.25">
      <c r="A755">
        <v>48</v>
      </c>
      <c r="B755">
        <v>2.5000000000000001E-2</v>
      </c>
      <c r="C755">
        <v>0.3</v>
      </c>
      <c r="D755">
        <v>4.6376711492672058</v>
      </c>
      <c r="E755">
        <v>1.9056710236106673</v>
      </c>
      <c r="F755">
        <v>0.59055236936711875</v>
      </c>
      <c r="G755" s="166">
        <v>42.7862617129706</v>
      </c>
    </row>
    <row r="756" spans="1:7" x14ac:dyDescent="0.25">
      <c r="A756">
        <v>47</v>
      </c>
      <c r="B756">
        <v>2.5000000000000001E-2</v>
      </c>
      <c r="C756">
        <v>0.3</v>
      </c>
      <c r="D756">
        <v>4.6208597333761672</v>
      </c>
      <c r="E756">
        <v>1.8987630245097649</v>
      </c>
      <c r="F756">
        <v>0.5884116351133678</v>
      </c>
      <c r="G756" s="166">
        <v>42.58927385158934</v>
      </c>
    </row>
    <row r="757" spans="1:7" x14ac:dyDescent="0.25">
      <c r="A757">
        <v>46</v>
      </c>
      <c r="B757">
        <v>2.5000000000000001E-2</v>
      </c>
      <c r="C757">
        <v>0.3</v>
      </c>
      <c r="D757">
        <v>4.602512667932352</v>
      </c>
      <c r="E757">
        <v>1.8912240098062119</v>
      </c>
      <c r="F757">
        <v>0.58607535411800415</v>
      </c>
      <c r="G757" s="166">
        <v>42.406608671267257</v>
      </c>
    </row>
    <row r="758" spans="1:7" x14ac:dyDescent="0.25">
      <c r="A758">
        <v>45</v>
      </c>
      <c r="B758">
        <v>2.5000000000000001E-2</v>
      </c>
      <c r="C758">
        <v>0.3</v>
      </c>
      <c r="D758">
        <v>4.5841208099893995</v>
      </c>
      <c r="E758">
        <v>1.8836665893630256</v>
      </c>
      <c r="F758">
        <v>0.58373336932958508</v>
      </c>
      <c r="G758" s="166">
        <v>42.22294127113522</v>
      </c>
    </row>
    <row r="759" spans="1:7" x14ac:dyDescent="0.25">
      <c r="A759">
        <v>44</v>
      </c>
      <c r="B759">
        <v>2.5000000000000001E-2</v>
      </c>
      <c r="C759">
        <v>0.3</v>
      </c>
      <c r="D759">
        <v>4.565324848338002</v>
      </c>
      <c r="E759">
        <v>1.8759431181795148</v>
      </c>
      <c r="F759">
        <v>0.58133992673081003</v>
      </c>
      <c r="G759" s="166">
        <v>42.038506936805412</v>
      </c>
    </row>
    <row r="760" spans="1:7" x14ac:dyDescent="0.25">
      <c r="A760">
        <v>43</v>
      </c>
      <c r="B760">
        <v>2.5000000000000001E-2</v>
      </c>
      <c r="C760">
        <v>0.3</v>
      </c>
      <c r="D760">
        <v>4.545454967400306</v>
      </c>
      <c r="E760">
        <v>1.8677783615318717</v>
      </c>
      <c r="F760">
        <v>0.57880973325888763</v>
      </c>
      <c r="G760" s="166">
        <v>41.823687414471614</v>
      </c>
    </row>
    <row r="761" spans="1:7" x14ac:dyDescent="0.25">
      <c r="A761">
        <v>42</v>
      </c>
      <c r="B761">
        <v>2.5000000000000001E-2</v>
      </c>
      <c r="C761">
        <v>0.3</v>
      </c>
      <c r="D761">
        <v>4.5239882970412326</v>
      </c>
      <c r="E761">
        <v>1.8589574662247192</v>
      </c>
      <c r="F761">
        <v>0.57607620760884737</v>
      </c>
      <c r="G761" s="166">
        <v>41.623266168784411</v>
      </c>
    </row>
    <row r="762" spans="1:7" x14ac:dyDescent="0.25">
      <c r="A762">
        <v>41</v>
      </c>
      <c r="B762">
        <v>2.5000000000000001E-2</v>
      </c>
      <c r="C762">
        <v>0.3</v>
      </c>
      <c r="D762">
        <v>4.5025216266821584</v>
      </c>
      <c r="E762">
        <v>1.8501365709175661</v>
      </c>
      <c r="F762">
        <v>0.573342681958807</v>
      </c>
      <c r="G762" s="166">
        <v>41.420933826529179</v>
      </c>
    </row>
    <row r="763" spans="1:7" x14ac:dyDescent="0.25">
      <c r="A763">
        <v>40</v>
      </c>
      <c r="B763">
        <v>2.5000000000000001E-2</v>
      </c>
      <c r="C763">
        <v>0.3</v>
      </c>
      <c r="D763">
        <v>4.4801064088274751</v>
      </c>
      <c r="E763">
        <v>1.8409259068194141</v>
      </c>
      <c r="F763">
        <v>0.57048837004493713</v>
      </c>
      <c r="G763" s="166">
        <v>41.198922590427102</v>
      </c>
    </row>
    <row r="764" spans="1:7" x14ac:dyDescent="0.25">
      <c r="A764">
        <v>39</v>
      </c>
      <c r="B764">
        <v>2.5000000000000001E-2</v>
      </c>
      <c r="C764">
        <v>0.3</v>
      </c>
      <c r="D764">
        <v>4.4558649149798804</v>
      </c>
      <c r="E764">
        <v>1.83096480545894</v>
      </c>
      <c r="F764">
        <v>0.56740150356218599</v>
      </c>
      <c r="G764" s="166">
        <v>40.975980188253494</v>
      </c>
    </row>
    <row r="765" spans="1:7" x14ac:dyDescent="0.25">
      <c r="A765">
        <v>38</v>
      </c>
      <c r="B765">
        <v>2.5000000000000001E-2</v>
      </c>
      <c r="C765">
        <v>0.3</v>
      </c>
      <c r="D765">
        <v>4.4310555268955572</v>
      </c>
      <c r="E765">
        <v>1.8207703499953876</v>
      </c>
      <c r="F765">
        <v>0.56424232248957795</v>
      </c>
      <c r="G765" s="166">
        <v>40.756364062491492</v>
      </c>
    </row>
    <row r="766" spans="1:7" x14ac:dyDescent="0.25">
      <c r="A766">
        <v>37</v>
      </c>
      <c r="B766">
        <v>2.5000000000000001E-2</v>
      </c>
      <c r="C766">
        <v>0.3</v>
      </c>
      <c r="D766">
        <v>4.4054882763981951</v>
      </c>
      <c r="E766">
        <v>1.8102644803772028</v>
      </c>
      <c r="F766">
        <v>0.5609866366348778</v>
      </c>
      <c r="G766" s="166">
        <v>40.5151023322151</v>
      </c>
    </row>
    <row r="767" spans="1:7" x14ac:dyDescent="0.25">
      <c r="A767">
        <v>36</v>
      </c>
      <c r="B767">
        <v>2.5000000000000001E-2</v>
      </c>
      <c r="C767">
        <v>0.3</v>
      </c>
      <c r="D767">
        <v>4.3775798549132299</v>
      </c>
      <c r="E767">
        <v>1.798796597375836</v>
      </c>
      <c r="F767">
        <v>0.55743283044578518</v>
      </c>
      <c r="G767" s="166">
        <v>40.275688815227241</v>
      </c>
    </row>
    <row r="768" spans="1:7" x14ac:dyDescent="0.25">
      <c r="A768">
        <v>35</v>
      </c>
      <c r="B768">
        <v>2.5000000000000001E-2</v>
      </c>
      <c r="C768">
        <v>0.3</v>
      </c>
      <c r="D768">
        <v>4.3491531722494772</v>
      </c>
      <c r="E768">
        <v>1.7871157550508578</v>
      </c>
      <c r="F768">
        <v>0.55381302984759506</v>
      </c>
      <c r="G768" s="166">
        <v>40.038445068221968</v>
      </c>
    </row>
    <row r="769" spans="1:7" x14ac:dyDescent="0.25">
      <c r="A769">
        <v>34</v>
      </c>
      <c r="B769">
        <v>2.5000000000000001E-2</v>
      </c>
      <c r="C769">
        <v>0.3</v>
      </c>
      <c r="D769">
        <v>4.3192120313598643</v>
      </c>
      <c r="E769">
        <v>1.7748126048768322</v>
      </c>
      <c r="F769">
        <v>0.55000038097172343</v>
      </c>
      <c r="G769" s="166">
        <v>39.770242093139544</v>
      </c>
    </row>
    <row r="770" spans="1:7" x14ac:dyDescent="0.25">
      <c r="A770">
        <v>33</v>
      </c>
      <c r="B770">
        <v>2.5000000000000001E-2</v>
      </c>
      <c r="C770">
        <v>0.3</v>
      </c>
      <c r="D770">
        <v>4.2868866717892455</v>
      </c>
      <c r="E770">
        <v>1.7615297525402114</v>
      </c>
      <c r="F770">
        <v>0.5458841301487023</v>
      </c>
      <c r="G770" s="166">
        <v>39.518496244276868</v>
      </c>
    </row>
    <row r="771" spans="1:7" x14ac:dyDescent="0.25">
      <c r="A771">
        <v>32</v>
      </c>
      <c r="B771">
        <v>2.5000000000000001E-2</v>
      </c>
      <c r="C771">
        <v>0.3</v>
      </c>
      <c r="D771">
        <v>4.2540898960159579</v>
      </c>
      <c r="E771">
        <v>1.7480531900053955</v>
      </c>
      <c r="F771">
        <v>0.54170785006821887</v>
      </c>
      <c r="G771" s="166">
        <v>39.241352263156799</v>
      </c>
    </row>
    <row r="772" spans="1:7" x14ac:dyDescent="0.25">
      <c r="A772">
        <v>31</v>
      </c>
      <c r="B772">
        <v>2.5000000000000001E-2</v>
      </c>
      <c r="C772">
        <v>0.3</v>
      </c>
      <c r="D772">
        <v>4.2179737103192805</v>
      </c>
      <c r="E772">
        <v>1.7332126447510439</v>
      </c>
      <c r="F772">
        <v>0.53710888253705913</v>
      </c>
      <c r="G772" s="166">
        <v>38.971686129598616</v>
      </c>
    </row>
    <row r="773" spans="1:7" x14ac:dyDescent="0.25">
      <c r="A773">
        <v>30</v>
      </c>
      <c r="B773">
        <v>2.5000000000000001E-2</v>
      </c>
      <c r="C773">
        <v>0.3</v>
      </c>
      <c r="D773">
        <v>4.1813010136157951</v>
      </c>
      <c r="E773">
        <v>1.7181434228902968</v>
      </c>
      <c r="F773">
        <v>0.53243904993524849</v>
      </c>
      <c r="G773" s="166">
        <v>38.681781546980154</v>
      </c>
    </row>
    <row r="774" spans="1:7" x14ac:dyDescent="0.25">
      <c r="A774">
        <v>29</v>
      </c>
      <c r="B774">
        <v>2.5000000000000001E-2</v>
      </c>
      <c r="C774">
        <v>0.3</v>
      </c>
      <c r="D774">
        <v>4.1408898570856012</v>
      </c>
      <c r="E774">
        <v>1.7015380260107977</v>
      </c>
      <c r="F774">
        <v>0.52729316885190725</v>
      </c>
      <c r="G774" s="166">
        <v>38.396711953438249</v>
      </c>
    </row>
    <row r="775" spans="1:7" x14ac:dyDescent="0.25">
      <c r="A775">
        <v>28</v>
      </c>
      <c r="B775">
        <v>2.5000000000000001E-2</v>
      </c>
      <c r="C775">
        <v>0.3</v>
      </c>
      <c r="D775">
        <v>4.0995957976093633</v>
      </c>
      <c r="E775">
        <v>1.6845698344210258</v>
      </c>
      <c r="F775">
        <v>0.52203486055888992</v>
      </c>
      <c r="G775" s="166">
        <v>38.08453514621911</v>
      </c>
    </row>
    <row r="776" spans="1:7" x14ac:dyDescent="0.25">
      <c r="A776">
        <v>27</v>
      </c>
      <c r="B776">
        <v>2.5000000000000001E-2</v>
      </c>
      <c r="C776">
        <v>0.3</v>
      </c>
      <c r="D776">
        <v>4.0526611597307776</v>
      </c>
      <c r="E776">
        <v>1.6652838659833948</v>
      </c>
      <c r="F776">
        <v>0.51605829156283978</v>
      </c>
      <c r="G776" s="166">
        <v>37.653406240951796</v>
      </c>
    </row>
    <row r="777" spans="1:7" x14ac:dyDescent="0.25">
      <c r="A777">
        <v>26</v>
      </c>
      <c r="B777">
        <v>2.5000000000000001E-2</v>
      </c>
      <c r="C777">
        <v>0.3</v>
      </c>
      <c r="D777">
        <v>4.0012082065373598</v>
      </c>
      <c r="E777">
        <v>1.6441412711714736</v>
      </c>
      <c r="F777">
        <v>0.50950636874612398</v>
      </c>
      <c r="G777" s="166">
        <v>37.211059094480341</v>
      </c>
    </row>
    <row r="778" spans="1:7" x14ac:dyDescent="0.25">
      <c r="A778">
        <v>25</v>
      </c>
      <c r="B778">
        <v>2.5000000000000001E-2</v>
      </c>
      <c r="C778">
        <v>0.3</v>
      </c>
      <c r="D778">
        <v>3.9424379127244418</v>
      </c>
      <c r="E778">
        <v>1.6199918991345927</v>
      </c>
      <c r="F778">
        <v>0.502022669462033</v>
      </c>
      <c r="G778" s="166">
        <v>36.783340621320235</v>
      </c>
    </row>
    <row r="779" spans="1:7" x14ac:dyDescent="0.25">
      <c r="A779">
        <v>24</v>
      </c>
      <c r="B779">
        <v>2.5000000000000001E-2</v>
      </c>
      <c r="C779">
        <v>0.3</v>
      </c>
      <c r="D779">
        <v>3.8758355576701957</v>
      </c>
      <c r="E779">
        <v>1.5926242454036548</v>
      </c>
      <c r="F779">
        <v>0.49354165014937001</v>
      </c>
      <c r="G779" s="166">
        <v>36.364628191447437</v>
      </c>
    </row>
    <row r="780" spans="1:7" x14ac:dyDescent="0.25">
      <c r="A780">
        <v>23</v>
      </c>
      <c r="B780">
        <v>2.5000000000000001E-2</v>
      </c>
      <c r="C780">
        <v>0.3</v>
      </c>
      <c r="D780">
        <v>3.8014920003136954</v>
      </c>
      <c r="E780">
        <v>1.5620756449344717</v>
      </c>
      <c r="F780">
        <v>0.4840748806154847</v>
      </c>
      <c r="G780" s="166">
        <v>35.957482122941428</v>
      </c>
    </row>
    <row r="781" spans="1:7" x14ac:dyDescent="0.25">
      <c r="A781">
        <v>22</v>
      </c>
      <c r="B781">
        <v>2.5000000000000001E-2</v>
      </c>
      <c r="C781">
        <v>0.3</v>
      </c>
      <c r="D781">
        <v>3.7171712644877259</v>
      </c>
      <c r="E781">
        <v>1.5274273100738875</v>
      </c>
      <c r="F781">
        <v>0.47333763583764543</v>
      </c>
      <c r="G781" s="166">
        <v>35.573563196748907</v>
      </c>
    </row>
    <row r="782" spans="1:7" x14ac:dyDescent="0.25">
      <c r="A782">
        <v>21</v>
      </c>
      <c r="B782">
        <v>2.5000000000000001E-2</v>
      </c>
      <c r="C782">
        <v>0.3</v>
      </c>
      <c r="D782">
        <v>3.6221898469675007</v>
      </c>
      <c r="E782">
        <v>1.4883983816906494</v>
      </c>
      <c r="F782">
        <v>0.4612428797937031</v>
      </c>
      <c r="G782" s="166">
        <v>35.222633163175061</v>
      </c>
    </row>
    <row r="783" spans="1:7" x14ac:dyDescent="0.25">
      <c r="A783">
        <v>20</v>
      </c>
      <c r="B783">
        <v>2.5000000000000001E-2</v>
      </c>
      <c r="C783">
        <v>0.3</v>
      </c>
      <c r="D783">
        <v>3.514958297936237</v>
      </c>
      <c r="E783">
        <v>1.4443357370509893</v>
      </c>
      <c r="F783">
        <v>0.44758821491706019</v>
      </c>
      <c r="G783" s="166">
        <v>34.918360871205401</v>
      </c>
    </row>
    <row r="784" spans="1:7" x14ac:dyDescent="0.25">
      <c r="A784">
        <v>19</v>
      </c>
      <c r="B784">
        <v>2.5000000000000001E-2</v>
      </c>
      <c r="C784">
        <v>0.3</v>
      </c>
      <c r="D784">
        <v>3.3934558116741309</v>
      </c>
      <c r="E784">
        <v>1.3944090044488007</v>
      </c>
      <c r="F784">
        <v>0.43211631558728125</v>
      </c>
      <c r="G784" s="166">
        <v>34.68182687874846</v>
      </c>
    </row>
    <row r="785" spans="1:7" x14ac:dyDescent="0.25">
      <c r="A785">
        <v>18</v>
      </c>
      <c r="B785">
        <v>2.5000000000000001E-2</v>
      </c>
      <c r="C785">
        <v>0.3</v>
      </c>
      <c r="D785">
        <v>3.2550853231411367</v>
      </c>
      <c r="E785">
        <v>1.3375510207683827</v>
      </c>
      <c r="F785">
        <v>0.41449647639998627</v>
      </c>
      <c r="G785" s="166">
        <v>34.543939431284798</v>
      </c>
    </row>
    <row r="786" spans="1:7" x14ac:dyDescent="0.25">
      <c r="A786">
        <v>17</v>
      </c>
      <c r="B786">
        <v>2.5000000000000001E-2</v>
      </c>
      <c r="C786">
        <v>0.3</v>
      </c>
      <c r="D786">
        <v>3.0969157621889485</v>
      </c>
      <c r="E786">
        <v>1.2725573764537286</v>
      </c>
      <c r="F786">
        <v>0.39435546036506736</v>
      </c>
      <c r="G786" s="166">
        <v>34.479822195473147</v>
      </c>
    </row>
    <row r="787" spans="1:7" x14ac:dyDescent="0.25">
      <c r="A787">
        <v>16</v>
      </c>
      <c r="B787">
        <v>2.5000000000000001E-2</v>
      </c>
      <c r="C787">
        <v>0.3</v>
      </c>
      <c r="D787">
        <v>2.9234007246172795</v>
      </c>
      <c r="E787">
        <v>1.2012581039054167</v>
      </c>
      <c r="F787">
        <v>0.372260380041193</v>
      </c>
      <c r="G787" s="166">
        <v>34.383313386655118</v>
      </c>
    </row>
    <row r="788" spans="1:7" x14ac:dyDescent="0.25">
      <c r="A788">
        <v>15</v>
      </c>
      <c r="B788">
        <v>2.5000000000000001E-2</v>
      </c>
      <c r="C788">
        <v>0.3</v>
      </c>
      <c r="D788">
        <v>2.7454409308503913</v>
      </c>
      <c r="E788">
        <v>1.1281324312490284</v>
      </c>
      <c r="F788">
        <v>0.34959931277735179</v>
      </c>
      <c r="G788" s="166">
        <v>34.330251153126611</v>
      </c>
    </row>
    <row r="789" spans="1:7" x14ac:dyDescent="0.25">
      <c r="A789">
        <v>14</v>
      </c>
      <c r="B789">
        <v>2.5000000000000001E-2</v>
      </c>
      <c r="C789">
        <v>0.3</v>
      </c>
      <c r="D789">
        <v>2.5674811370835036</v>
      </c>
      <c r="E789">
        <v>1.0550067585926404</v>
      </c>
      <c r="F789">
        <v>0.32693824551351069</v>
      </c>
      <c r="G789" s="166">
        <v>34.269833115499509</v>
      </c>
    </row>
    <row r="790" spans="1:7" x14ac:dyDescent="0.25">
      <c r="A790">
        <v>13</v>
      </c>
      <c r="B790">
        <v>2.5000000000000001E-2</v>
      </c>
      <c r="C790">
        <v>0.3</v>
      </c>
      <c r="D790">
        <v>2.3893821791624608</v>
      </c>
      <c r="E790">
        <v>0.98182390182647783</v>
      </c>
      <c r="F790">
        <v>0.3042594573465866</v>
      </c>
      <c r="G790" s="166">
        <v>34.201897223360326</v>
      </c>
    </row>
    <row r="791" spans="1:7" x14ac:dyDescent="0.25">
      <c r="A791">
        <v>12</v>
      </c>
      <c r="B791">
        <v>2.5000000000000001E-2</v>
      </c>
      <c r="C791">
        <v>0.3</v>
      </c>
      <c r="D791">
        <v>2.2112690507039003</v>
      </c>
      <c r="E791">
        <v>0.90863522222771942</v>
      </c>
      <c r="F791">
        <v>0.281578864729921</v>
      </c>
      <c r="G791" s="166">
        <v>34.123180583894502</v>
      </c>
    </row>
    <row r="792" spans="1:7" x14ac:dyDescent="0.25">
      <c r="A792">
        <v>11</v>
      </c>
      <c r="B792">
        <v>2.5000000000000001E-2</v>
      </c>
      <c r="C792">
        <v>0.3</v>
      </c>
      <c r="D792">
        <v>2.0331559222453417</v>
      </c>
      <c r="E792">
        <v>0.83544654262896167</v>
      </c>
      <c r="F792">
        <v>0.25889827211325561</v>
      </c>
      <c r="G792" s="166">
        <v>34.030672117876087</v>
      </c>
    </row>
    <row r="793" spans="1:7" x14ac:dyDescent="0.25">
      <c r="A793">
        <v>10</v>
      </c>
      <c r="B793">
        <v>2.5000000000000001E-2</v>
      </c>
      <c r="C793">
        <v>0.3</v>
      </c>
      <c r="D793">
        <v>1.8550427937867815</v>
      </c>
      <c r="E793">
        <v>0.76225786303020349</v>
      </c>
      <c r="F793">
        <v>0.23621767949659006</v>
      </c>
      <c r="G793" s="166">
        <v>33.920399131980695</v>
      </c>
    </row>
    <row r="794" spans="1:7" x14ac:dyDescent="0.25">
      <c r="A794">
        <v>9</v>
      </c>
      <c r="B794">
        <v>2.5000000000000001E-2</v>
      </c>
      <c r="C794">
        <v>0.3</v>
      </c>
      <c r="D794">
        <v>1.6769296653282213</v>
      </c>
      <c r="E794">
        <v>0.68906918343144519</v>
      </c>
      <c r="F794">
        <v>0.21353708687992448</v>
      </c>
      <c r="G794" s="166">
        <v>33.786701112932882</v>
      </c>
    </row>
    <row r="795" spans="1:7" x14ac:dyDescent="0.25">
      <c r="A795">
        <v>8</v>
      </c>
      <c r="B795">
        <v>2.5000000000000001E-2</v>
      </c>
      <c r="C795">
        <v>0.3</v>
      </c>
      <c r="D795">
        <v>1.4988165368696615</v>
      </c>
      <c r="E795">
        <v>0.615880503832687</v>
      </c>
      <c r="F795">
        <v>0.19085649426325896</v>
      </c>
      <c r="G795" s="166">
        <v>33.621226859962462</v>
      </c>
    </row>
    <row r="796" spans="1:7" x14ac:dyDescent="0.25">
      <c r="A796">
        <v>7</v>
      </c>
      <c r="B796">
        <v>2.5000000000000001E-2</v>
      </c>
      <c r="C796">
        <v>0.3</v>
      </c>
      <c r="D796">
        <v>1.3207034084111018</v>
      </c>
      <c r="E796">
        <v>0.54269182423392892</v>
      </c>
      <c r="F796">
        <v>0.16817590164659343</v>
      </c>
      <c r="G796" s="166">
        <v>33.411120122986624</v>
      </c>
    </row>
    <row r="797" spans="1:7" x14ac:dyDescent="0.25">
      <c r="A797">
        <v>6</v>
      </c>
      <c r="B797">
        <v>2.5000000000000001E-2</v>
      </c>
      <c r="C797">
        <v>0.3</v>
      </c>
      <c r="D797">
        <v>1.1423042739594689</v>
      </c>
      <c r="E797">
        <v>0.46938562156895158</v>
      </c>
      <c r="F797">
        <v>0.14545888956174524</v>
      </c>
      <c r="G797" s="166">
        <v>33.141756802220364</v>
      </c>
    </row>
    <row r="798" spans="1:7" x14ac:dyDescent="0.25">
      <c r="A798">
        <v>5</v>
      </c>
      <c r="B798">
        <v>2.5000000000000001E-2</v>
      </c>
      <c r="C798">
        <v>0.3</v>
      </c>
      <c r="D798">
        <v>0.96388408153138527</v>
      </c>
      <c r="E798">
        <v>0.39607076594557189</v>
      </c>
      <c r="F798">
        <v>0.12273919599356482</v>
      </c>
      <c r="G798" s="166">
        <v>32.773223495753321</v>
      </c>
    </row>
    <row r="799" spans="1:7" x14ac:dyDescent="0.25">
      <c r="A799">
        <v>4</v>
      </c>
      <c r="B799">
        <v>2.5000000000000001E-2</v>
      </c>
      <c r="C799">
        <v>0.3</v>
      </c>
      <c r="D799">
        <v>0.78519512352032694</v>
      </c>
      <c r="E799">
        <v>0.32264547153359907</v>
      </c>
      <c r="F799">
        <v>9.9985278318775392E-2</v>
      </c>
      <c r="G799" s="166">
        <v>32.245685456406193</v>
      </c>
    </row>
    <row r="800" spans="1:7" x14ac:dyDescent="0.25">
      <c r="A800">
        <v>3</v>
      </c>
      <c r="B800">
        <v>2.5000000000000001E-2</v>
      </c>
      <c r="C800">
        <v>0.3</v>
      </c>
      <c r="D800">
        <v>0.6060625367752539</v>
      </c>
      <c r="E800">
        <v>0.24903788510555983</v>
      </c>
      <c r="F800">
        <v>7.7174869790805678E-2</v>
      </c>
      <c r="G800" s="166">
        <v>31.42490991699546</v>
      </c>
    </row>
    <row r="801" spans="1:7" x14ac:dyDescent="0.25">
      <c r="A801">
        <v>2</v>
      </c>
      <c r="B801">
        <v>2.5000000000000001E-2</v>
      </c>
      <c r="C801">
        <v>0.3</v>
      </c>
      <c r="D801">
        <v>0.4258091090402979</v>
      </c>
      <c r="E801">
        <v>0.17496973255979731</v>
      </c>
      <c r="F801">
        <v>5.4221735467721362E-2</v>
      </c>
      <c r="G801" s="166">
        <v>29.976381596570562</v>
      </c>
    </row>
    <row r="802" spans="1:7" x14ac:dyDescent="0.25">
      <c r="A802">
        <v>1</v>
      </c>
      <c r="B802">
        <v>2.5000000000000001E-2</v>
      </c>
      <c r="C802">
        <v>0.3</v>
      </c>
      <c r="D802">
        <v>0.24160935050214574</v>
      </c>
      <c r="E802">
        <v>9.9279988482599585E-2</v>
      </c>
      <c r="F802">
        <v>3.0766082761784011E-2</v>
      </c>
      <c r="G802" s="166">
        <v>26.736399512358361</v>
      </c>
    </row>
    <row r="803" spans="1:7" x14ac:dyDescent="0.25">
      <c r="A803">
        <v>50</v>
      </c>
      <c r="B803">
        <v>0.02</v>
      </c>
      <c r="C803">
        <v>0.3</v>
      </c>
      <c r="D803">
        <v>4.6504020279662441</v>
      </c>
      <c r="E803">
        <v>1.910902284271677</v>
      </c>
      <c r="F803">
        <v>0.59217349564749988</v>
      </c>
      <c r="G803" s="166">
        <v>42.942651359916489</v>
      </c>
    </row>
    <row r="804" spans="1:7" x14ac:dyDescent="0.25">
      <c r="A804">
        <v>49</v>
      </c>
      <c r="B804">
        <v>0.02</v>
      </c>
      <c r="C804">
        <v>0.3</v>
      </c>
      <c r="D804">
        <v>4.6340045768439655</v>
      </c>
      <c r="E804">
        <v>1.9041643879312398</v>
      </c>
      <c r="F804">
        <v>0.59008547489308028</v>
      </c>
      <c r="G804" s="166">
        <v>42.751451328881032</v>
      </c>
    </row>
    <row r="805" spans="1:7" x14ac:dyDescent="0.25">
      <c r="A805">
        <v>48</v>
      </c>
      <c r="B805">
        <v>0.02</v>
      </c>
      <c r="C805">
        <v>0.3</v>
      </c>
      <c r="D805">
        <v>4.6162639348565282</v>
      </c>
      <c r="E805">
        <v>1.8968745594187</v>
      </c>
      <c r="F805">
        <v>0.58782641472633457</v>
      </c>
      <c r="G805" s="166">
        <v>42.572687143306091</v>
      </c>
    </row>
    <row r="806" spans="1:7" x14ac:dyDescent="0.25">
      <c r="A806">
        <v>47</v>
      </c>
      <c r="B806">
        <v>0.02</v>
      </c>
      <c r="C806">
        <v>0.3</v>
      </c>
      <c r="D806">
        <v>4.5983474404217848</v>
      </c>
      <c r="E806">
        <v>1.8895124711657703</v>
      </c>
      <c r="F806">
        <v>0.58554496183788174</v>
      </c>
      <c r="G806" s="166">
        <v>42.39435022434666</v>
      </c>
    </row>
    <row r="807" spans="1:7" x14ac:dyDescent="0.25">
      <c r="A807">
        <v>46</v>
      </c>
      <c r="B807">
        <v>0.02</v>
      </c>
      <c r="C807">
        <v>0.3</v>
      </c>
      <c r="D807">
        <v>4.5802760030062757</v>
      </c>
      <c r="E807">
        <v>1.8820867151064662</v>
      </c>
      <c r="F807">
        <v>0.58324377880007938</v>
      </c>
      <c r="G807" s="166">
        <v>42.215524772953877</v>
      </c>
    </row>
    <row r="808" spans="1:7" x14ac:dyDescent="0.25">
      <c r="A808">
        <v>45</v>
      </c>
      <c r="B808">
        <v>0.02</v>
      </c>
      <c r="C808">
        <v>0.3</v>
      </c>
      <c r="D808">
        <v>4.5610609964839295</v>
      </c>
      <c r="E808">
        <v>1.8741910536915962</v>
      </c>
      <c r="F808">
        <v>0.58079697581126266</v>
      </c>
      <c r="G808" s="166">
        <v>42.006341835505097</v>
      </c>
    </row>
    <row r="809" spans="1:7" x14ac:dyDescent="0.25">
      <c r="A809">
        <v>44</v>
      </c>
      <c r="B809">
        <v>0.02</v>
      </c>
      <c r="C809">
        <v>0.3</v>
      </c>
      <c r="D809">
        <v>4.5402399777819502</v>
      </c>
      <c r="E809">
        <v>1.8656354638825414</v>
      </c>
      <c r="F809">
        <v>0.57814566623554298</v>
      </c>
      <c r="G809" s="166">
        <v>41.811775644511386</v>
      </c>
    </row>
    <row r="810" spans="1:7" x14ac:dyDescent="0.25">
      <c r="A810">
        <v>43</v>
      </c>
      <c r="B810">
        <v>0.02</v>
      </c>
      <c r="C810">
        <v>0.3</v>
      </c>
      <c r="D810">
        <v>4.5193738745789691</v>
      </c>
      <c r="E810">
        <v>1.857061348347016</v>
      </c>
      <c r="F810">
        <v>0.5754886156837965</v>
      </c>
      <c r="G810" s="166">
        <v>41.615877057482926</v>
      </c>
    </row>
    <row r="811" spans="1:7" x14ac:dyDescent="0.25">
      <c r="A811">
        <v>42</v>
      </c>
      <c r="B811">
        <v>0.02</v>
      </c>
      <c r="C811">
        <v>0.3</v>
      </c>
      <c r="D811">
        <v>4.4978710116464313</v>
      </c>
      <c r="E811">
        <v>1.8482255811060198</v>
      </c>
      <c r="F811">
        <v>0.57275048133914963</v>
      </c>
      <c r="G811" s="166">
        <v>41.401868475018247</v>
      </c>
    </row>
    <row r="812" spans="1:7" x14ac:dyDescent="0.25">
      <c r="A812">
        <v>41</v>
      </c>
      <c r="B812">
        <v>0.02</v>
      </c>
      <c r="C812">
        <v>0.3</v>
      </c>
      <c r="D812">
        <v>4.4745563873078016</v>
      </c>
      <c r="E812">
        <v>1.8386453408090087</v>
      </c>
      <c r="F812">
        <v>0.56978164068595727</v>
      </c>
      <c r="G812" s="166">
        <v>41.184514998385296</v>
      </c>
    </row>
    <row r="813" spans="1:7" x14ac:dyDescent="0.25">
      <c r="A813">
        <v>40</v>
      </c>
      <c r="B813">
        <v>0.02</v>
      </c>
      <c r="C813">
        <v>0.3</v>
      </c>
      <c r="D813">
        <v>4.4504939450635899</v>
      </c>
      <c r="E813">
        <v>1.8287578137579916</v>
      </c>
      <c r="F813">
        <v>0.56671757429946401</v>
      </c>
      <c r="G813" s="166">
        <v>40.97247939044852</v>
      </c>
    </row>
    <row r="814" spans="1:7" x14ac:dyDescent="0.25">
      <c r="A814">
        <v>39</v>
      </c>
      <c r="B814">
        <v>0.02</v>
      </c>
      <c r="C814">
        <v>0.3</v>
      </c>
      <c r="D814">
        <v>4.4260227893384787</v>
      </c>
      <c r="E814">
        <v>1.818702341759513</v>
      </c>
      <c r="F814">
        <v>0.56360146310281312</v>
      </c>
      <c r="G814" s="166">
        <v>40.740864473494895</v>
      </c>
    </row>
    <row r="815" spans="1:7" x14ac:dyDescent="0.25">
      <c r="A815">
        <v>38</v>
      </c>
      <c r="B815">
        <v>0.02</v>
      </c>
      <c r="C815">
        <v>0.3</v>
      </c>
      <c r="D815">
        <v>4.3992561648241271</v>
      </c>
      <c r="E815">
        <v>1.8077036359230878</v>
      </c>
      <c r="F815">
        <v>0.56019305120422314</v>
      </c>
      <c r="G815" s="166">
        <v>40.507842398831883</v>
      </c>
    </row>
    <row r="816" spans="1:7" x14ac:dyDescent="0.25">
      <c r="A816">
        <v>37</v>
      </c>
      <c r="B816">
        <v>0.02</v>
      </c>
      <c r="C816">
        <v>0.3</v>
      </c>
      <c r="D816">
        <v>4.3717459161619496</v>
      </c>
      <c r="E816">
        <v>1.7963993665946945</v>
      </c>
      <c r="F816">
        <v>0.55668994759760049</v>
      </c>
      <c r="G816" s="166">
        <v>40.279490624494791</v>
      </c>
    </row>
    <row r="817" spans="1:7" x14ac:dyDescent="0.25">
      <c r="A817">
        <v>36</v>
      </c>
      <c r="B817">
        <v>0.02</v>
      </c>
      <c r="C817">
        <v>0.3</v>
      </c>
      <c r="D817">
        <v>4.3434481017474988</v>
      </c>
      <c r="E817">
        <v>1.7847714776768586</v>
      </c>
      <c r="F817">
        <v>0.55308655684122798</v>
      </c>
      <c r="G817" s="166">
        <v>40.020329405587034</v>
      </c>
    </row>
    <row r="818" spans="1:7" x14ac:dyDescent="0.25">
      <c r="A818">
        <v>35</v>
      </c>
      <c r="B818">
        <v>0.02</v>
      </c>
      <c r="C818">
        <v>0.3</v>
      </c>
      <c r="D818">
        <v>4.3122444495788406</v>
      </c>
      <c r="E818">
        <v>1.7719495474763887</v>
      </c>
      <c r="F818">
        <v>0.54911314214061469</v>
      </c>
      <c r="G818" s="166">
        <v>39.778597210008172</v>
      </c>
    </row>
    <row r="819" spans="1:7" x14ac:dyDescent="0.25">
      <c r="A819">
        <v>34</v>
      </c>
      <c r="B819">
        <v>0.02</v>
      </c>
      <c r="C819">
        <v>0.3</v>
      </c>
      <c r="D819">
        <v>4.280948100234605</v>
      </c>
      <c r="E819">
        <v>1.7590895269681364</v>
      </c>
      <c r="F819">
        <v>0.54512792355505379</v>
      </c>
      <c r="G819" s="166">
        <v>39.515136017407599</v>
      </c>
    </row>
    <row r="820" spans="1:7" x14ac:dyDescent="0.25">
      <c r="A820">
        <v>33</v>
      </c>
      <c r="B820">
        <v>0.02</v>
      </c>
      <c r="C820">
        <v>0.3</v>
      </c>
      <c r="D820">
        <v>4.2465505570545865</v>
      </c>
      <c r="E820">
        <v>1.7449551911750703</v>
      </c>
      <c r="F820">
        <v>0.54074780474723849</v>
      </c>
      <c r="G820" s="166">
        <v>39.253078281105019</v>
      </c>
    </row>
    <row r="821" spans="1:7" x14ac:dyDescent="0.25">
      <c r="A821">
        <v>32</v>
      </c>
      <c r="B821">
        <v>0.02</v>
      </c>
      <c r="C821">
        <v>0.3</v>
      </c>
      <c r="D821">
        <v>4.2113097822669268</v>
      </c>
      <c r="E821">
        <v>1.7304743620690555</v>
      </c>
      <c r="F821">
        <v>0.53626031040377387</v>
      </c>
      <c r="G821" s="166">
        <v>38.981641918857349</v>
      </c>
    </row>
    <row r="822" spans="1:7" x14ac:dyDescent="0.25">
      <c r="A822">
        <v>31</v>
      </c>
      <c r="B822">
        <v>0.02</v>
      </c>
      <c r="C822">
        <v>0.3</v>
      </c>
      <c r="D822">
        <v>4.1732509148227974</v>
      </c>
      <c r="E822">
        <v>1.7148355471239345</v>
      </c>
      <c r="F822">
        <v>0.53141396541268693</v>
      </c>
      <c r="G822" s="166">
        <v>38.701983429999338</v>
      </c>
    </row>
    <row r="823" spans="1:7" x14ac:dyDescent="0.25">
      <c r="A823">
        <v>30</v>
      </c>
      <c r="B823">
        <v>0.02</v>
      </c>
      <c r="C823">
        <v>0.3</v>
      </c>
      <c r="D823">
        <v>4.1337482676370403</v>
      </c>
      <c r="E823">
        <v>1.6986034669106342</v>
      </c>
      <c r="F823">
        <v>0.52638377220989629</v>
      </c>
      <c r="G823" s="166">
        <v>38.408732312221439</v>
      </c>
    </row>
    <row r="824" spans="1:7" x14ac:dyDescent="0.25">
      <c r="A824">
        <v>29</v>
      </c>
      <c r="B824">
        <v>0.02</v>
      </c>
      <c r="C824">
        <v>0.3</v>
      </c>
      <c r="D824">
        <v>4.0896967497486791</v>
      </c>
      <c r="E824">
        <v>1.680502204771946</v>
      </c>
      <c r="F824">
        <v>0.52077433432051501</v>
      </c>
      <c r="G824" s="166">
        <v>37.992857887738069</v>
      </c>
    </row>
    <row r="825" spans="1:7" x14ac:dyDescent="0.25">
      <c r="A825">
        <v>28</v>
      </c>
      <c r="B825">
        <v>0.02</v>
      </c>
      <c r="C825">
        <v>0.3</v>
      </c>
      <c r="D825">
        <v>4.0409300238373058</v>
      </c>
      <c r="E825">
        <v>1.6604634108397045</v>
      </c>
      <c r="F825">
        <v>0.51456447066129696</v>
      </c>
      <c r="G825" s="166">
        <v>37.567361001519011</v>
      </c>
    </row>
    <row r="826" spans="1:7" x14ac:dyDescent="0.25">
      <c r="A826">
        <v>27</v>
      </c>
      <c r="B826">
        <v>0.02</v>
      </c>
      <c r="C826">
        <v>0.3</v>
      </c>
      <c r="D826">
        <v>3.9845255418070749</v>
      </c>
      <c r="E826">
        <v>1.6372861773647169</v>
      </c>
      <c r="F826">
        <v>0.50738202942435384</v>
      </c>
      <c r="G826" s="166">
        <v>37.157680415165508</v>
      </c>
    </row>
    <row r="827" spans="1:7" x14ac:dyDescent="0.25">
      <c r="A827">
        <v>26</v>
      </c>
      <c r="B827">
        <v>0.02</v>
      </c>
      <c r="C827">
        <v>0.3</v>
      </c>
      <c r="D827">
        <v>3.9205784697942825</v>
      </c>
      <c r="E827">
        <v>1.611009609178381</v>
      </c>
      <c r="F827">
        <v>0.49923912888747313</v>
      </c>
      <c r="G827" s="166">
        <v>36.760657019160988</v>
      </c>
    </row>
    <row r="828" spans="1:7" x14ac:dyDescent="0.25">
      <c r="A828">
        <v>25</v>
      </c>
      <c r="B828">
        <v>0.02</v>
      </c>
      <c r="C828">
        <v>0.3</v>
      </c>
      <c r="D828">
        <v>3.8480459333642663</v>
      </c>
      <c r="E828">
        <v>1.5812051774938474</v>
      </c>
      <c r="F828">
        <v>0.49000297137084514</v>
      </c>
      <c r="G828" s="166">
        <v>36.380901834426354</v>
      </c>
    </row>
    <row r="829" spans="1:7" x14ac:dyDescent="0.25">
      <c r="A829">
        <v>24</v>
      </c>
      <c r="B829">
        <v>0.02</v>
      </c>
      <c r="C829">
        <v>0.3</v>
      </c>
      <c r="D829">
        <v>3.7661749639583855</v>
      </c>
      <c r="E829">
        <v>1.5475634790960739</v>
      </c>
      <c r="F829">
        <v>0.47957767526664308</v>
      </c>
      <c r="G829" s="166">
        <v>36.027637336280598</v>
      </c>
    </row>
    <row r="830" spans="1:7" x14ac:dyDescent="0.25">
      <c r="A830">
        <v>23</v>
      </c>
      <c r="B830">
        <v>0.02</v>
      </c>
      <c r="C830">
        <v>0.3</v>
      </c>
      <c r="D830">
        <v>3.6735403735051118</v>
      </c>
      <c r="E830">
        <v>1.5094988882423783</v>
      </c>
      <c r="F830">
        <v>0.46778175979165787</v>
      </c>
      <c r="G830" s="166">
        <v>35.713399705779239</v>
      </c>
    </row>
    <row r="831" spans="1:7" x14ac:dyDescent="0.25">
      <c r="A831">
        <v>22</v>
      </c>
      <c r="B831">
        <v>0.02</v>
      </c>
      <c r="C831">
        <v>0.3</v>
      </c>
      <c r="D831">
        <v>3.5689212678429074</v>
      </c>
      <c r="E831">
        <v>1.4665097258460691</v>
      </c>
      <c r="F831">
        <v>0.45445975856704629</v>
      </c>
      <c r="G831" s="166">
        <v>35.451461056150166</v>
      </c>
    </row>
    <row r="832" spans="1:7" x14ac:dyDescent="0.25">
      <c r="A832">
        <v>21</v>
      </c>
      <c r="B832">
        <v>0.02</v>
      </c>
      <c r="C832">
        <v>0.3</v>
      </c>
      <c r="D832">
        <v>3.4503001062975605</v>
      </c>
      <c r="E832">
        <v>1.417766961844847</v>
      </c>
      <c r="F832">
        <v>0.43935476173717114</v>
      </c>
      <c r="G832" s="166">
        <v>35.263476171668707</v>
      </c>
    </row>
    <row r="833" spans="1:7" x14ac:dyDescent="0.25">
      <c r="A833">
        <v>20</v>
      </c>
      <c r="B833">
        <v>0.02</v>
      </c>
      <c r="C833">
        <v>0.3</v>
      </c>
      <c r="D833">
        <v>3.3158432104390521</v>
      </c>
      <c r="E833">
        <v>1.3625171172320647</v>
      </c>
      <c r="F833">
        <v>0.42223327212065609</v>
      </c>
      <c r="G833" s="166">
        <v>35.176721889356493</v>
      </c>
    </row>
    <row r="834" spans="1:7" x14ac:dyDescent="0.25">
      <c r="A834">
        <v>19</v>
      </c>
      <c r="B834">
        <v>0.02</v>
      </c>
      <c r="C834">
        <v>0.3</v>
      </c>
      <c r="D834">
        <v>3.1642367335289276</v>
      </c>
      <c r="E834">
        <v>1.3002203176659777</v>
      </c>
      <c r="F834">
        <v>0.40292798693138127</v>
      </c>
      <c r="G834" s="166">
        <v>35.072287823339273</v>
      </c>
    </row>
    <row r="835" spans="1:7" x14ac:dyDescent="0.25">
      <c r="A835">
        <v>18</v>
      </c>
      <c r="B835">
        <v>0.02</v>
      </c>
      <c r="C835">
        <v>0.3</v>
      </c>
      <c r="D835">
        <v>3.0033519953014678</v>
      </c>
      <c r="E835">
        <v>1.2341109765951468</v>
      </c>
      <c r="F835">
        <v>0.38244122530097807</v>
      </c>
      <c r="G835" s="166">
        <v>35.009919235143684</v>
      </c>
    </row>
    <row r="836" spans="1:7" x14ac:dyDescent="0.25">
      <c r="A836">
        <v>17</v>
      </c>
      <c r="B836">
        <v>0.02</v>
      </c>
      <c r="C836">
        <v>0.3</v>
      </c>
      <c r="D836">
        <v>2.8406088084932759</v>
      </c>
      <c r="E836">
        <v>1.1672379781852804</v>
      </c>
      <c r="F836">
        <v>0.36171781230453925</v>
      </c>
      <c r="G836" s="166">
        <v>34.963375693622645</v>
      </c>
    </row>
    <row r="837" spans="1:7" x14ac:dyDescent="0.25">
      <c r="A837">
        <v>16</v>
      </c>
      <c r="B837">
        <v>0.02</v>
      </c>
      <c r="C837">
        <v>0.3</v>
      </c>
      <c r="D837">
        <v>2.6778656216850845</v>
      </c>
      <c r="E837">
        <v>1.1003649797754143</v>
      </c>
      <c r="F837">
        <v>0.34099439930810049</v>
      </c>
      <c r="G837" s="166">
        <v>34.911174927025677</v>
      </c>
    </row>
    <row r="838" spans="1:7" x14ac:dyDescent="0.25">
      <c r="A838">
        <v>15</v>
      </c>
      <c r="B838">
        <v>0.02</v>
      </c>
      <c r="C838">
        <v>0.3</v>
      </c>
      <c r="D838">
        <v>2.5151224348768944</v>
      </c>
      <c r="E838">
        <v>1.0334919813655485</v>
      </c>
      <c r="F838">
        <v>0.32027098631166195</v>
      </c>
      <c r="G838" s="166">
        <v>34.852218768331667</v>
      </c>
    </row>
    <row r="839" spans="1:7" x14ac:dyDescent="0.25">
      <c r="A839">
        <v>14</v>
      </c>
      <c r="B839">
        <v>0.02</v>
      </c>
      <c r="C839">
        <v>0.3</v>
      </c>
      <c r="D839">
        <v>2.3523792480687016</v>
      </c>
      <c r="E839">
        <v>0.96661898295568194</v>
      </c>
      <c r="F839">
        <v>0.29954757331522303</v>
      </c>
      <c r="G839" s="166">
        <v>34.785105155302276</v>
      </c>
    </row>
    <row r="840" spans="1:7" x14ac:dyDescent="0.25">
      <c r="A840">
        <v>13</v>
      </c>
      <c r="B840">
        <v>0.02</v>
      </c>
      <c r="C840">
        <v>0.3</v>
      </c>
      <c r="D840">
        <v>2.1895007751989133</v>
      </c>
      <c r="E840">
        <v>0.89969039398771311</v>
      </c>
      <c r="F840">
        <v>0.27880693324475353</v>
      </c>
      <c r="G840" s="166">
        <v>34.709750589183976</v>
      </c>
    </row>
    <row r="841" spans="1:7" x14ac:dyDescent="0.25">
      <c r="A841">
        <v>12</v>
      </c>
      <c r="B841">
        <v>0.02</v>
      </c>
      <c r="C841">
        <v>0.3</v>
      </c>
      <c r="D841">
        <v>2.0266085266824954</v>
      </c>
      <c r="E841">
        <v>0.83275614445223789</v>
      </c>
      <c r="F841">
        <v>0.25806453900920973</v>
      </c>
      <c r="G841" s="166">
        <v>34.622473945173702</v>
      </c>
    </row>
    <row r="842" spans="1:7" x14ac:dyDescent="0.25">
      <c r="A842">
        <v>11</v>
      </c>
      <c r="B842">
        <v>0.02</v>
      </c>
      <c r="C842">
        <v>0.3</v>
      </c>
      <c r="D842">
        <v>1.8637162781660761</v>
      </c>
      <c r="E842">
        <v>0.76582189491676222</v>
      </c>
      <c r="F842">
        <v>0.2373221447736657</v>
      </c>
      <c r="G842" s="166">
        <v>34.519941021060774</v>
      </c>
    </row>
    <row r="843" spans="1:7" x14ac:dyDescent="0.25">
      <c r="A843">
        <v>10</v>
      </c>
      <c r="B843">
        <v>0.02</v>
      </c>
      <c r="C843">
        <v>0.3</v>
      </c>
      <c r="D843">
        <v>1.7008240296496573</v>
      </c>
      <c r="E843">
        <v>0.69888764538128656</v>
      </c>
      <c r="F843">
        <v>0.21657975053812173</v>
      </c>
      <c r="G843" s="166">
        <v>34.397768418457225</v>
      </c>
    </row>
    <row r="844" spans="1:7" x14ac:dyDescent="0.25">
      <c r="A844">
        <v>9</v>
      </c>
      <c r="B844">
        <v>0.02</v>
      </c>
      <c r="C844">
        <v>0.3</v>
      </c>
      <c r="D844">
        <v>1.537931781133238</v>
      </c>
      <c r="E844">
        <v>0.63195339584581078</v>
      </c>
      <c r="F844">
        <v>0.1958373563025777</v>
      </c>
      <c r="G844" s="166">
        <v>34.249715643287729</v>
      </c>
    </row>
    <row r="845" spans="1:7" x14ac:dyDescent="0.25">
      <c r="A845">
        <v>8</v>
      </c>
      <c r="B845">
        <v>0.02</v>
      </c>
      <c r="C845">
        <v>0.3</v>
      </c>
      <c r="D845">
        <v>1.3750395326168194</v>
      </c>
      <c r="E845">
        <v>0.56501914631033523</v>
      </c>
      <c r="F845">
        <v>0.17509496206703376</v>
      </c>
      <c r="G845" s="166">
        <v>34.066585113807328</v>
      </c>
    </row>
    <row r="846" spans="1:7" x14ac:dyDescent="0.25">
      <c r="A846">
        <v>7</v>
      </c>
      <c r="B846">
        <v>0.02</v>
      </c>
      <c r="C846">
        <v>0.3</v>
      </c>
      <c r="D846">
        <v>1.2121472841004</v>
      </c>
      <c r="E846">
        <v>0.4980848967748594</v>
      </c>
      <c r="F846">
        <v>0.15435256783148971</v>
      </c>
      <c r="G846" s="166">
        <v>33.834235245868072</v>
      </c>
    </row>
    <row r="847" spans="1:7" x14ac:dyDescent="0.25">
      <c r="A847">
        <v>6</v>
      </c>
      <c r="B847">
        <v>0.02</v>
      </c>
      <c r="C847">
        <v>0.3</v>
      </c>
      <c r="D847">
        <v>1.0489703524128304</v>
      </c>
      <c r="E847">
        <v>0.43103366773550988</v>
      </c>
      <c r="F847">
        <v>0.13357392257343231</v>
      </c>
      <c r="G847" s="166">
        <v>33.537164582089794</v>
      </c>
    </row>
    <row r="848" spans="1:7" x14ac:dyDescent="0.25">
      <c r="A848">
        <v>5</v>
      </c>
      <c r="B848">
        <v>0.02</v>
      </c>
      <c r="C848">
        <v>0.3</v>
      </c>
      <c r="D848">
        <v>0.88578099780560671</v>
      </c>
      <c r="E848">
        <v>0.36397733397932047</v>
      </c>
      <c r="F848">
        <v>0.11279369540402324</v>
      </c>
      <c r="G848" s="166">
        <v>33.13102178098827</v>
      </c>
    </row>
    <row r="849" spans="1:7" x14ac:dyDescent="0.25">
      <c r="A849">
        <v>4</v>
      </c>
      <c r="B849">
        <v>0.02</v>
      </c>
      <c r="C849">
        <v>0.3</v>
      </c>
      <c r="D849">
        <v>0.72231703712984963</v>
      </c>
      <c r="E849">
        <v>0.29680816151360023</v>
      </c>
      <c r="F849">
        <v>9.1978500411498784E-2</v>
      </c>
      <c r="G849" s="166">
        <v>32.55160994246171</v>
      </c>
    </row>
    <row r="850" spans="1:7" x14ac:dyDescent="0.25">
      <c r="A850">
        <v>3</v>
      </c>
      <c r="B850">
        <v>0.02</v>
      </c>
      <c r="C850">
        <v>0.3</v>
      </c>
      <c r="D850">
        <v>0.55841909009805701</v>
      </c>
      <c r="E850">
        <v>0.22946065919293335</v>
      </c>
      <c r="F850">
        <v>7.1108042408169814E-2</v>
      </c>
      <c r="G850" s="166">
        <v>31.653518928162203</v>
      </c>
    </row>
    <row r="851" spans="1:7" x14ac:dyDescent="0.25">
      <c r="A851">
        <v>2</v>
      </c>
      <c r="B851">
        <v>0.02</v>
      </c>
      <c r="C851">
        <v>0.3</v>
      </c>
      <c r="D851">
        <v>0.39340358801170799</v>
      </c>
      <c r="E851">
        <v>0.16165394098217592</v>
      </c>
      <c r="F851">
        <v>5.0095277034584371E-2</v>
      </c>
      <c r="G851" s="166">
        <v>30.080055495994515</v>
      </c>
    </row>
    <row r="852" spans="1:7" x14ac:dyDescent="0.25">
      <c r="A852">
        <v>1</v>
      </c>
      <c r="B852">
        <v>0.02</v>
      </c>
      <c r="C852">
        <v>0.3</v>
      </c>
      <c r="D852">
        <v>0.22435009132321085</v>
      </c>
      <c r="E852">
        <v>9.218796555823168E-2</v>
      </c>
      <c r="F852">
        <v>2.8568320981444819E-2</v>
      </c>
      <c r="G852" s="166">
        <v>26.626090269800368</v>
      </c>
    </row>
    <row r="853" spans="1:7" x14ac:dyDescent="0.25">
      <c r="A853">
        <v>50</v>
      </c>
      <c r="B853">
        <v>1.4999999999999999E-2</v>
      </c>
      <c r="C853">
        <v>0.3</v>
      </c>
      <c r="D853">
        <v>4.6289750884483238</v>
      </c>
      <c r="E853">
        <v>1.9020977148121949</v>
      </c>
      <c r="F853">
        <v>0.58944502924845543</v>
      </c>
      <c r="G853" s="166">
        <v>42.728557420857861</v>
      </c>
    </row>
    <row r="854" spans="1:7" x14ac:dyDescent="0.25">
      <c r="A854">
        <v>49</v>
      </c>
      <c r="B854">
        <v>1.4999999999999999E-2</v>
      </c>
      <c r="C854">
        <v>0.3</v>
      </c>
      <c r="D854">
        <v>4.6115169161109444</v>
      </c>
      <c r="E854">
        <v>1.8949239562429172</v>
      </c>
      <c r="F854">
        <v>0.58722193823858748</v>
      </c>
      <c r="G854" s="166">
        <v>42.555266662836061</v>
      </c>
    </row>
    <row r="855" spans="1:7" x14ac:dyDescent="0.25">
      <c r="A855">
        <v>48</v>
      </c>
      <c r="B855">
        <v>1.4999999999999999E-2</v>
      </c>
      <c r="C855">
        <v>0.3</v>
      </c>
      <c r="D855">
        <v>4.5940566319314646</v>
      </c>
      <c r="E855">
        <v>1.8877493298940657</v>
      </c>
      <c r="F855">
        <v>0.58499857831069701</v>
      </c>
      <c r="G855" s="166">
        <v>42.380078547914373</v>
      </c>
    </row>
    <row r="856" spans="1:7" x14ac:dyDescent="0.25">
      <c r="A856">
        <v>47</v>
      </c>
      <c r="B856">
        <v>1.4999999999999999E-2</v>
      </c>
      <c r="C856">
        <v>0.3</v>
      </c>
      <c r="D856">
        <v>4.5753598279625036</v>
      </c>
      <c r="E856">
        <v>1.8800666037129721</v>
      </c>
      <c r="F856">
        <v>0.58261776226572859</v>
      </c>
      <c r="G856" s="166">
        <v>42.177332045559176</v>
      </c>
    </row>
    <row r="857" spans="1:7" x14ac:dyDescent="0.25">
      <c r="A857">
        <v>46</v>
      </c>
      <c r="B857">
        <v>1.4999999999999999E-2</v>
      </c>
      <c r="C857">
        <v>0.3</v>
      </c>
      <c r="D857">
        <v>4.5551777914449172</v>
      </c>
      <c r="E857">
        <v>1.8717735788409748</v>
      </c>
      <c r="F857">
        <v>0.58004781948615103</v>
      </c>
      <c r="G857" s="166">
        <v>41.988078186900573</v>
      </c>
    </row>
    <row r="858" spans="1:7" x14ac:dyDescent="0.25">
      <c r="A858">
        <v>45</v>
      </c>
      <c r="B858">
        <v>1.4999999999999999E-2</v>
      </c>
      <c r="C858">
        <v>0.3</v>
      </c>
      <c r="D858">
        <v>4.5348888581315219</v>
      </c>
      <c r="E858">
        <v>1.8634366288781867</v>
      </c>
      <c r="F858">
        <v>0.57746426466854606</v>
      </c>
      <c r="G858" s="166">
        <v>41.798231894053067</v>
      </c>
    </row>
    <row r="859" spans="1:7" x14ac:dyDescent="0.25">
      <c r="A859">
        <v>44</v>
      </c>
      <c r="B859">
        <v>1.4999999999999999E-2</v>
      </c>
      <c r="C859">
        <v>0.3</v>
      </c>
      <c r="D859">
        <v>4.5141718339941992</v>
      </c>
      <c r="E859">
        <v>1.8549237716006333</v>
      </c>
      <c r="F859">
        <v>0.57482619756616748</v>
      </c>
      <c r="G859" s="166">
        <v>41.589850418591674</v>
      </c>
    </row>
    <row r="860" spans="1:7" x14ac:dyDescent="0.25">
      <c r="A860">
        <v>43</v>
      </c>
      <c r="B860">
        <v>1.4999999999999999E-2</v>
      </c>
      <c r="C860">
        <v>0.3</v>
      </c>
      <c r="D860">
        <v>4.4916264512685693</v>
      </c>
      <c r="E860">
        <v>1.8456596212989815</v>
      </c>
      <c r="F860">
        <v>0.57195531070110528</v>
      </c>
      <c r="G860" s="166">
        <v>41.378885157351966</v>
      </c>
    </row>
    <row r="861" spans="1:7" x14ac:dyDescent="0.25">
      <c r="A861">
        <v>42</v>
      </c>
      <c r="B861">
        <v>1.4999999999999999E-2</v>
      </c>
      <c r="C861">
        <v>0.3</v>
      </c>
      <c r="D861">
        <v>4.4682795399917188</v>
      </c>
      <c r="E861">
        <v>1.8360661139373973</v>
      </c>
      <c r="F861">
        <v>0.56898235868959268</v>
      </c>
      <c r="G861" s="166">
        <v>41.173935249175102</v>
      </c>
    </row>
    <row r="862" spans="1:7" x14ac:dyDescent="0.25">
      <c r="A862">
        <v>41</v>
      </c>
      <c r="B862">
        <v>1.4999999999999999E-2</v>
      </c>
      <c r="C862">
        <v>0.3</v>
      </c>
      <c r="D862">
        <v>4.4447535742230846</v>
      </c>
      <c r="E862">
        <v>1.8263990310794789</v>
      </c>
      <c r="F862">
        <v>0.56598660621401842</v>
      </c>
      <c r="G862" s="166">
        <v>40.949324314354968</v>
      </c>
    </row>
    <row r="863" spans="1:7" x14ac:dyDescent="0.25">
      <c r="A863">
        <v>40</v>
      </c>
      <c r="B863">
        <v>1.4999999999999999E-2</v>
      </c>
      <c r="C863">
        <v>0.3</v>
      </c>
      <c r="D863">
        <v>4.4189412691715555</v>
      </c>
      <c r="E863">
        <v>1.8157924658000346</v>
      </c>
      <c r="F863">
        <v>0.56269971557076615</v>
      </c>
      <c r="G863" s="166">
        <v>40.723551499125193</v>
      </c>
    </row>
    <row r="864" spans="1:7" x14ac:dyDescent="0.25">
      <c r="A864">
        <v>39</v>
      </c>
      <c r="B864">
        <v>1.4999999999999999E-2</v>
      </c>
      <c r="C864">
        <v>0.3</v>
      </c>
      <c r="D864">
        <v>4.3923060799876978</v>
      </c>
      <c r="E864">
        <v>1.8048477682131681</v>
      </c>
      <c r="F864">
        <v>0.55930804040131088</v>
      </c>
      <c r="G864" s="166">
        <v>40.503453524762833</v>
      </c>
    </row>
    <row r="865" spans="1:7" x14ac:dyDescent="0.25">
      <c r="A865">
        <v>38</v>
      </c>
      <c r="B865">
        <v>1.4999999999999999E-2</v>
      </c>
      <c r="C865">
        <v>0.3</v>
      </c>
      <c r="D865">
        <v>4.3651651881085947</v>
      </c>
      <c r="E865">
        <v>1.7936952717242505</v>
      </c>
      <c r="F865">
        <v>0.55585196999656183</v>
      </c>
      <c r="G865" s="166">
        <v>40.253413662435804</v>
      </c>
    </row>
    <row r="866" spans="1:7" x14ac:dyDescent="0.25">
      <c r="A866">
        <v>37</v>
      </c>
      <c r="B866">
        <v>1.4999999999999999E-2</v>
      </c>
      <c r="C866">
        <v>0.3</v>
      </c>
      <c r="D866">
        <v>4.335164886279296</v>
      </c>
      <c r="E866">
        <v>1.7813678116574232</v>
      </c>
      <c r="F866">
        <v>0.55203178767729144</v>
      </c>
      <c r="G866" s="166">
        <v>40.019543953889858</v>
      </c>
    </row>
    <row r="867" spans="1:7" x14ac:dyDescent="0.25">
      <c r="A867">
        <v>36</v>
      </c>
      <c r="B867">
        <v>1.4999999999999999E-2</v>
      </c>
      <c r="C867">
        <v>0.3</v>
      </c>
      <c r="D867">
        <v>4.3049387565959512</v>
      </c>
      <c r="E867">
        <v>1.7689475563957817</v>
      </c>
      <c r="F867">
        <v>0.5481828488614986</v>
      </c>
      <c r="G867" s="166">
        <v>39.768625499740175</v>
      </c>
    </row>
    <row r="868" spans="1:7" x14ac:dyDescent="0.25">
      <c r="A868">
        <v>35</v>
      </c>
      <c r="B868">
        <v>1.4999999999999999E-2</v>
      </c>
      <c r="C868">
        <v>0.3</v>
      </c>
      <c r="D868">
        <v>4.2722188589793646</v>
      </c>
      <c r="E868">
        <v>1.7555025839566967</v>
      </c>
      <c r="F868">
        <v>0.5440163583016886</v>
      </c>
      <c r="G868" s="166">
        <v>39.513042099108127</v>
      </c>
    </row>
    <row r="869" spans="1:7" x14ac:dyDescent="0.25">
      <c r="A869">
        <v>34</v>
      </c>
      <c r="B869">
        <v>1.4999999999999999E-2</v>
      </c>
      <c r="C869">
        <v>0.3</v>
      </c>
      <c r="D869">
        <v>4.2382574281845882</v>
      </c>
      <c r="E869">
        <v>1.7415474516277925</v>
      </c>
      <c r="F869">
        <v>0.53969177322926021</v>
      </c>
      <c r="G869" s="166">
        <v>39.255660459000858</v>
      </c>
    </row>
    <row r="870" spans="1:7" x14ac:dyDescent="0.25">
      <c r="A870">
        <v>33</v>
      </c>
      <c r="B870">
        <v>1.4999999999999999E-2</v>
      </c>
      <c r="C870">
        <v>0.3</v>
      </c>
      <c r="D870">
        <v>4.2021537468466494</v>
      </c>
      <c r="E870">
        <v>1.7267120445545132</v>
      </c>
      <c r="F870">
        <v>0.53509439797975289</v>
      </c>
      <c r="G870" s="166">
        <v>38.983293058179143</v>
      </c>
    </row>
    <row r="871" spans="1:7" x14ac:dyDescent="0.25">
      <c r="A871">
        <v>32</v>
      </c>
      <c r="B871">
        <v>1.4999999999999999E-2</v>
      </c>
      <c r="C871">
        <v>0.3</v>
      </c>
      <c r="D871">
        <v>4.1641462929114823</v>
      </c>
      <c r="E871">
        <v>1.7110943559961276</v>
      </c>
      <c r="F871">
        <v>0.53025459988872803</v>
      </c>
      <c r="G871" s="166">
        <v>38.693014904520673</v>
      </c>
    </row>
    <row r="872" spans="1:7" x14ac:dyDescent="0.25">
      <c r="A872">
        <v>31</v>
      </c>
      <c r="B872">
        <v>1.4999999999999999E-2</v>
      </c>
      <c r="C872">
        <v>0.3</v>
      </c>
      <c r="D872">
        <v>4.1223114065852569</v>
      </c>
      <c r="E872">
        <v>1.6939039325956822</v>
      </c>
      <c r="F872">
        <v>0.5249274237162519</v>
      </c>
      <c r="G872" s="166">
        <v>38.29077347709859</v>
      </c>
    </row>
    <row r="873" spans="1:7" x14ac:dyDescent="0.25">
      <c r="A873">
        <v>30</v>
      </c>
      <c r="B873">
        <v>1.4999999999999999E-2</v>
      </c>
      <c r="C873">
        <v>0.3</v>
      </c>
      <c r="D873">
        <v>4.0749255987634969</v>
      </c>
      <c r="E873">
        <v>1.6744325733746688</v>
      </c>
      <c r="F873">
        <v>0.51889340358355296</v>
      </c>
      <c r="G873" s="166">
        <v>37.881791024244329</v>
      </c>
    </row>
    <row r="874" spans="1:7" x14ac:dyDescent="0.25">
      <c r="A874">
        <v>29</v>
      </c>
      <c r="B874">
        <v>1.4999999999999999E-2</v>
      </c>
      <c r="C874">
        <v>0.3</v>
      </c>
      <c r="D874">
        <v>4.0202787131190387</v>
      </c>
      <c r="E874">
        <v>1.6519775559421228</v>
      </c>
      <c r="F874">
        <v>0.51193477138278376</v>
      </c>
      <c r="G874" s="166">
        <v>37.486377197417539</v>
      </c>
    </row>
    <row r="875" spans="1:7" x14ac:dyDescent="0.25">
      <c r="A875">
        <v>28</v>
      </c>
      <c r="B875">
        <v>1.4999999999999999E-2</v>
      </c>
      <c r="C875">
        <v>0.3</v>
      </c>
      <c r="D875">
        <v>3.9570551176437685</v>
      </c>
      <c r="E875">
        <v>1.6259982723689999</v>
      </c>
      <c r="F875">
        <v>0.5038839969949257</v>
      </c>
      <c r="G875" s="166">
        <v>37.112530459129083</v>
      </c>
    </row>
    <row r="876" spans="1:7" x14ac:dyDescent="0.25">
      <c r="A876">
        <v>27</v>
      </c>
      <c r="B876">
        <v>1.4999999999999999E-2</v>
      </c>
      <c r="C876">
        <v>0.3</v>
      </c>
      <c r="D876">
        <v>3.8850404093047435</v>
      </c>
      <c r="E876">
        <v>1.5964066220474502</v>
      </c>
      <c r="F876">
        <v>0.49471377873880523</v>
      </c>
      <c r="G876" s="166">
        <v>36.762936560445702</v>
      </c>
    </row>
    <row r="877" spans="1:7" x14ac:dyDescent="0.25">
      <c r="A877">
        <v>26</v>
      </c>
      <c r="B877">
        <v>1.4999999999999999E-2</v>
      </c>
      <c r="C877">
        <v>0.3</v>
      </c>
      <c r="D877">
        <v>3.8033190505950487</v>
      </c>
      <c r="E877">
        <v>1.5628264003605881</v>
      </c>
      <c r="F877">
        <v>0.48430753378080815</v>
      </c>
      <c r="G877" s="166">
        <v>36.447613090919639</v>
      </c>
    </row>
    <row r="878" spans="1:7" x14ac:dyDescent="0.25">
      <c r="A878">
        <v>25</v>
      </c>
      <c r="B878">
        <v>1.4999999999999999E-2</v>
      </c>
      <c r="C878">
        <v>0.3</v>
      </c>
      <c r="D878">
        <v>3.7108313130018367</v>
      </c>
      <c r="E878">
        <v>1.524822152992048</v>
      </c>
      <c r="F878">
        <v>0.47253031827433439</v>
      </c>
      <c r="G878" s="166">
        <v>36.176830784678678</v>
      </c>
    </row>
    <row r="879" spans="1:7" x14ac:dyDescent="0.25">
      <c r="A879">
        <v>24</v>
      </c>
      <c r="B879">
        <v>1.4999999999999999E-2</v>
      </c>
      <c r="C879">
        <v>0.3</v>
      </c>
      <c r="D879">
        <v>3.6061678348538861</v>
      </c>
      <c r="E879">
        <v>1.4818147574443121</v>
      </c>
      <c r="F879">
        <v>0.45920266674038668</v>
      </c>
      <c r="G879" s="166">
        <v>35.969202004620279</v>
      </c>
    </row>
    <row r="880" spans="1:7" x14ac:dyDescent="0.25">
      <c r="A880">
        <v>23</v>
      </c>
      <c r="B880">
        <v>1.4999999999999999E-2</v>
      </c>
      <c r="C880">
        <v>0.3</v>
      </c>
      <c r="D880">
        <v>3.4879309762449147</v>
      </c>
      <c r="E880">
        <v>1.4332299078243751</v>
      </c>
      <c r="F880">
        <v>0.44414660632758962</v>
      </c>
      <c r="G880" s="166">
        <v>35.844968599646883</v>
      </c>
    </row>
    <row r="881" spans="1:7" x14ac:dyDescent="0.25">
      <c r="A881">
        <v>22</v>
      </c>
      <c r="B881">
        <v>1.4999999999999999E-2</v>
      </c>
      <c r="C881">
        <v>0.3</v>
      </c>
      <c r="D881">
        <v>3.3547466548505902</v>
      </c>
      <c r="E881">
        <v>1.3785029783135325</v>
      </c>
      <c r="F881">
        <v>0.42718716396298861</v>
      </c>
      <c r="G881" s="166">
        <v>35.757474871266758</v>
      </c>
    </row>
    <row r="882" spans="1:7" x14ac:dyDescent="0.25">
      <c r="A882">
        <v>21</v>
      </c>
      <c r="B882">
        <v>1.4999999999999999E-2</v>
      </c>
      <c r="C882">
        <v>0.3</v>
      </c>
      <c r="D882">
        <v>3.2103799074790254</v>
      </c>
      <c r="E882">
        <v>1.3191810647098949</v>
      </c>
      <c r="F882">
        <v>0.40880377239121385</v>
      </c>
      <c r="G882" s="166">
        <v>35.668997071595186</v>
      </c>
    </row>
    <row r="883" spans="1:7" x14ac:dyDescent="0.25">
      <c r="A883">
        <v>20</v>
      </c>
      <c r="B883">
        <v>1.4999999999999999E-2</v>
      </c>
      <c r="C883">
        <v>0.3</v>
      </c>
      <c r="D883">
        <v>3.0610386882572813</v>
      </c>
      <c r="E883">
        <v>1.2578150849020047</v>
      </c>
      <c r="F883">
        <v>0.38978694087880472</v>
      </c>
      <c r="G883" s="166">
        <v>35.63009349623912</v>
      </c>
    </row>
    <row r="884" spans="1:7" x14ac:dyDescent="0.25">
      <c r="A884">
        <v>19</v>
      </c>
      <c r="B884">
        <v>1.4999999999999999E-2</v>
      </c>
      <c r="C884">
        <v>0.3</v>
      </c>
      <c r="D884">
        <v>2.9116002650734178</v>
      </c>
      <c r="E884">
        <v>1.19640916289726</v>
      </c>
      <c r="F884">
        <v>0.37075773159567965</v>
      </c>
      <c r="G884" s="166">
        <v>35.588387266214902</v>
      </c>
    </row>
    <row r="885" spans="1:7" x14ac:dyDescent="0.25">
      <c r="A885">
        <v>18</v>
      </c>
      <c r="B885">
        <v>1.4999999999999999E-2</v>
      </c>
      <c r="C885">
        <v>0.3</v>
      </c>
      <c r="D885">
        <v>2.7621618418895566</v>
      </c>
      <c r="E885">
        <v>1.1350032408925159</v>
      </c>
      <c r="F885">
        <v>0.35172852231255486</v>
      </c>
      <c r="G885" s="166">
        <v>35.542168256991985</v>
      </c>
    </row>
    <row r="886" spans="1:7" x14ac:dyDescent="0.25">
      <c r="A886">
        <v>17</v>
      </c>
      <c r="B886">
        <v>1.4999999999999999E-2</v>
      </c>
      <c r="C886">
        <v>0.3</v>
      </c>
      <c r="D886">
        <v>2.6127234187056949</v>
      </c>
      <c r="E886">
        <v>1.0735973188877719</v>
      </c>
      <c r="F886">
        <v>0.33269931302943001</v>
      </c>
      <c r="G886" s="166">
        <v>35.4906621241417</v>
      </c>
    </row>
    <row r="887" spans="1:7" x14ac:dyDescent="0.25">
      <c r="A887">
        <v>16</v>
      </c>
      <c r="B887">
        <v>1.4999999999999999E-2</v>
      </c>
      <c r="C887">
        <v>0.3</v>
      </c>
      <c r="D887">
        <v>2.4632849955218319</v>
      </c>
      <c r="E887">
        <v>1.0121913968830274</v>
      </c>
      <c r="F887">
        <v>0.31367010374630511</v>
      </c>
      <c r="G887" s="166">
        <v>35.432906616743679</v>
      </c>
    </row>
    <row r="888" spans="1:7" x14ac:dyDescent="0.25">
      <c r="A888">
        <v>15</v>
      </c>
      <c r="B888">
        <v>1.4999999999999999E-2</v>
      </c>
      <c r="C888">
        <v>0.3</v>
      </c>
      <c r="D888">
        <v>2.3138465723379693</v>
      </c>
      <c r="E888">
        <v>0.95078547487828291</v>
      </c>
      <c r="F888">
        <v>0.29464089446318015</v>
      </c>
      <c r="G888" s="166">
        <v>35.367690898233185</v>
      </c>
    </row>
    <row r="889" spans="1:7" x14ac:dyDescent="0.25">
      <c r="A889">
        <v>14</v>
      </c>
      <c r="B889">
        <v>1.4999999999999999E-2</v>
      </c>
      <c r="C889">
        <v>0.3</v>
      </c>
      <c r="D889">
        <v>2.1644081491541072</v>
      </c>
      <c r="E889">
        <v>0.88937955287353865</v>
      </c>
      <c r="F889">
        <v>0.27561168518005524</v>
      </c>
      <c r="G889" s="166">
        <v>35.293469730223883</v>
      </c>
    </row>
    <row r="890" spans="1:7" x14ac:dyDescent="0.25">
      <c r="A890">
        <v>13</v>
      </c>
      <c r="B890">
        <v>1.4999999999999999E-2</v>
      </c>
      <c r="C890">
        <v>0.3</v>
      </c>
      <c r="D890">
        <v>2.0148369896749903</v>
      </c>
      <c r="E890">
        <v>0.82791908803824288</v>
      </c>
      <c r="F890">
        <v>0.25656557350537634</v>
      </c>
      <c r="G890" s="166">
        <v>35.210250822027433</v>
      </c>
    </row>
    <row r="891" spans="1:7" x14ac:dyDescent="0.25">
      <c r="A891">
        <v>12</v>
      </c>
      <c r="B891">
        <v>1.4999999999999999E-2</v>
      </c>
      <c r="C891">
        <v>0.3</v>
      </c>
      <c r="D891">
        <v>1.8652523141819033</v>
      </c>
      <c r="E891">
        <v>0.76645306932140844</v>
      </c>
      <c r="F891">
        <v>0.23751774072676021</v>
      </c>
      <c r="G891" s="166">
        <v>35.113906215155694</v>
      </c>
    </row>
    <row r="892" spans="1:7" x14ac:dyDescent="0.25">
      <c r="A892">
        <v>11</v>
      </c>
      <c r="B892">
        <v>1.4999999999999999E-2</v>
      </c>
      <c r="C892">
        <v>0.3</v>
      </c>
      <c r="D892">
        <v>1.7156676386888168</v>
      </c>
      <c r="E892">
        <v>0.70498705060457434</v>
      </c>
      <c r="F892">
        <v>0.21846990794814419</v>
      </c>
      <c r="G892" s="166">
        <v>35.000761528327367</v>
      </c>
    </row>
    <row r="893" spans="1:7" x14ac:dyDescent="0.25">
      <c r="A893">
        <v>10</v>
      </c>
      <c r="B893">
        <v>1.4999999999999999E-2</v>
      </c>
      <c r="C893">
        <v>0.3</v>
      </c>
      <c r="D893">
        <v>1.5660829631957298</v>
      </c>
      <c r="E893">
        <v>0.64352103188774012</v>
      </c>
      <c r="F893">
        <v>0.19942207516952809</v>
      </c>
      <c r="G893" s="166">
        <v>34.86600277422329</v>
      </c>
    </row>
    <row r="894" spans="1:7" x14ac:dyDescent="0.25">
      <c r="A894">
        <v>9</v>
      </c>
      <c r="B894">
        <v>1.4999999999999999E-2</v>
      </c>
      <c r="C894">
        <v>0.3</v>
      </c>
      <c r="D894">
        <v>1.4164982877026426</v>
      </c>
      <c r="E894">
        <v>0.58205501317090569</v>
      </c>
      <c r="F894">
        <v>0.18037424239091196</v>
      </c>
      <c r="G894" s="166">
        <v>34.702782503889338</v>
      </c>
    </row>
    <row r="895" spans="1:7" x14ac:dyDescent="0.25">
      <c r="A895">
        <v>8</v>
      </c>
      <c r="B895">
        <v>1.4999999999999999E-2</v>
      </c>
      <c r="C895">
        <v>0.3</v>
      </c>
      <c r="D895">
        <v>1.2669136122095561</v>
      </c>
      <c r="E895">
        <v>0.52058899445407147</v>
      </c>
      <c r="F895">
        <v>0.16132640961229591</v>
      </c>
      <c r="G895" s="166">
        <v>34.501019351173341</v>
      </c>
    </row>
    <row r="896" spans="1:7" x14ac:dyDescent="0.25">
      <c r="A896">
        <v>7</v>
      </c>
      <c r="B896">
        <v>1.4999999999999999E-2</v>
      </c>
      <c r="C896">
        <v>0.3</v>
      </c>
      <c r="D896">
        <v>1.1173289367164689</v>
      </c>
      <c r="E896">
        <v>0.45912297573723715</v>
      </c>
      <c r="F896">
        <v>0.14227857683367978</v>
      </c>
      <c r="G896" s="166">
        <v>34.245233296635504</v>
      </c>
    </row>
    <row r="897" spans="1:7" x14ac:dyDescent="0.25">
      <c r="A897">
        <v>6</v>
      </c>
      <c r="B897">
        <v>1.4999999999999999E-2</v>
      </c>
      <c r="C897">
        <v>0.3</v>
      </c>
      <c r="D897">
        <v>0.96745847043723654</v>
      </c>
      <c r="E897">
        <v>0.39753952238512075</v>
      </c>
      <c r="F897">
        <v>0.12319435199092861</v>
      </c>
      <c r="G897" s="166">
        <v>33.91909969898385</v>
      </c>
    </row>
    <row r="898" spans="1:7" x14ac:dyDescent="0.25">
      <c r="A898">
        <v>5</v>
      </c>
      <c r="B898">
        <v>1.4999999999999999E-2</v>
      </c>
      <c r="C898">
        <v>0.3</v>
      </c>
      <c r="D898">
        <v>0.81758369908407913</v>
      </c>
      <c r="E898">
        <v>0.33595430002990578</v>
      </c>
      <c r="F898">
        <v>0.1041095789481165</v>
      </c>
      <c r="G898" s="166">
        <v>33.473553518950929</v>
      </c>
    </row>
    <row r="899" spans="1:7" x14ac:dyDescent="0.25">
      <c r="A899">
        <v>4</v>
      </c>
      <c r="B899">
        <v>1.4999999999999999E-2</v>
      </c>
      <c r="C899">
        <v>0.3</v>
      </c>
      <c r="D899">
        <v>0.667426614447027</v>
      </c>
      <c r="E899">
        <v>0.27425307198403648</v>
      </c>
      <c r="F899">
        <v>8.4988856659801229E-2</v>
      </c>
      <c r="G899" s="166">
        <v>32.840150636352625</v>
      </c>
    </row>
    <row r="900" spans="1:7" x14ac:dyDescent="0.25">
      <c r="A900">
        <v>3</v>
      </c>
      <c r="B900">
        <v>1.4999999999999999E-2</v>
      </c>
      <c r="C900">
        <v>0.3</v>
      </c>
      <c r="D900">
        <v>0.51684139288552899</v>
      </c>
      <c r="E900">
        <v>0.21237591768018244</v>
      </c>
      <c r="F900">
        <v>6.58136162163587E-2</v>
      </c>
      <c r="G900" s="166">
        <v>31.862144367693144</v>
      </c>
    </row>
    <row r="901" spans="1:7" x14ac:dyDescent="0.25">
      <c r="A901">
        <v>2</v>
      </c>
      <c r="B901">
        <v>1.4999999999999999E-2</v>
      </c>
      <c r="C901">
        <v>0.3</v>
      </c>
      <c r="D901">
        <v>0.36513406543982813</v>
      </c>
      <c r="E901">
        <v>0.15003767749936053</v>
      </c>
      <c r="F901">
        <v>4.6495488908524854E-2</v>
      </c>
      <c r="G901" s="166">
        <v>30.161365904915289</v>
      </c>
    </row>
    <row r="902" spans="1:7" x14ac:dyDescent="0.25">
      <c r="A902">
        <v>1</v>
      </c>
      <c r="B902">
        <v>1.4999999999999999E-2</v>
      </c>
      <c r="C902">
        <v>0.3</v>
      </c>
      <c r="D902">
        <v>0.20927756035309653</v>
      </c>
      <c r="E902">
        <v>8.5994493749270026E-2</v>
      </c>
      <c r="F902">
        <v>2.6649013080933859E-2</v>
      </c>
      <c r="G902" s="166">
        <v>26.49830635837683</v>
      </c>
    </row>
    <row r="903" spans="1:7" x14ac:dyDescent="0.25">
      <c r="A903">
        <v>50</v>
      </c>
      <c r="B903">
        <v>0.01</v>
      </c>
      <c r="C903">
        <v>0.3</v>
      </c>
      <c r="D903">
        <v>4.6066699582369859</v>
      </c>
      <c r="E903">
        <v>1.8929322869598282</v>
      </c>
      <c r="F903">
        <v>0.58660473568916982</v>
      </c>
      <c r="G903" s="166">
        <v>42.533878767586877</v>
      </c>
    </row>
    <row r="904" spans="1:7" x14ac:dyDescent="0.25">
      <c r="A904">
        <v>49</v>
      </c>
      <c r="B904">
        <v>0.01</v>
      </c>
      <c r="C904">
        <v>0.3</v>
      </c>
      <c r="D904">
        <v>4.5885555040566457</v>
      </c>
      <c r="E904">
        <v>1.8854888548300077</v>
      </c>
      <c r="F904">
        <v>0.58429807497699704</v>
      </c>
      <c r="G904" s="166">
        <v>42.336405546906192</v>
      </c>
    </row>
    <row r="905" spans="1:7" x14ac:dyDescent="0.25">
      <c r="A905">
        <v>48</v>
      </c>
      <c r="B905">
        <v>0.01</v>
      </c>
      <c r="C905">
        <v>0.3</v>
      </c>
      <c r="D905">
        <v>4.5688925778883283</v>
      </c>
      <c r="E905">
        <v>1.877409138215284</v>
      </c>
      <c r="F905">
        <v>0.58179423473829761</v>
      </c>
      <c r="G905" s="166">
        <v>42.15311834975882</v>
      </c>
    </row>
    <row r="906" spans="1:7" x14ac:dyDescent="0.25">
      <c r="A906">
        <v>47</v>
      </c>
      <c r="B906">
        <v>0.01</v>
      </c>
      <c r="C906">
        <v>0.3</v>
      </c>
      <c r="D906">
        <v>4.5491584368973603</v>
      </c>
      <c r="E906">
        <v>1.8693001586322284</v>
      </c>
      <c r="F906">
        <v>0.57928132613728955</v>
      </c>
      <c r="G906" s="166">
        <v>41.968974636453858</v>
      </c>
    </row>
    <row r="907" spans="1:7" x14ac:dyDescent="0.25">
      <c r="A907">
        <v>46</v>
      </c>
      <c r="B907">
        <v>0.01</v>
      </c>
      <c r="C907">
        <v>0.3</v>
      </c>
      <c r="D907">
        <v>4.529112938389285</v>
      </c>
      <c r="E907">
        <v>1.8610632387577553</v>
      </c>
      <c r="F907">
        <v>0.57672876985244825</v>
      </c>
      <c r="G907" s="166">
        <v>41.764158327453679</v>
      </c>
    </row>
    <row r="908" spans="1:7" x14ac:dyDescent="0.25">
      <c r="A908">
        <v>45</v>
      </c>
      <c r="B908">
        <v>0.01</v>
      </c>
      <c r="C908">
        <v>0.3</v>
      </c>
      <c r="D908">
        <v>4.5071959253254175</v>
      </c>
      <c r="E908">
        <v>1.8520572925887371</v>
      </c>
      <c r="F908">
        <v>0.57393789840474718</v>
      </c>
      <c r="G908" s="166">
        <v>41.560271022832723</v>
      </c>
    </row>
    <row r="909" spans="1:7" x14ac:dyDescent="0.25">
      <c r="A909">
        <v>44</v>
      </c>
      <c r="B909">
        <v>0.01</v>
      </c>
      <c r="C909">
        <v>0.3</v>
      </c>
      <c r="D909">
        <v>4.4845346153226018</v>
      </c>
      <c r="E909">
        <v>1.8427455064703426</v>
      </c>
      <c r="F909">
        <v>0.57105224957705047</v>
      </c>
      <c r="G909" s="166">
        <v>41.361957432737697</v>
      </c>
    </row>
    <row r="910" spans="1:7" x14ac:dyDescent="0.25">
      <c r="A910">
        <v>43</v>
      </c>
      <c r="B910">
        <v>0.01</v>
      </c>
      <c r="C910">
        <v>0.3</v>
      </c>
      <c r="D910">
        <v>4.4617948036246498</v>
      </c>
      <c r="E910">
        <v>1.8334014631260886</v>
      </c>
      <c r="F910">
        <v>0.56815660449033289</v>
      </c>
      <c r="G910" s="166">
        <v>41.142303210678023</v>
      </c>
    </row>
    <row r="911" spans="1:7" x14ac:dyDescent="0.25">
      <c r="A911">
        <v>42</v>
      </c>
      <c r="B911">
        <v>0.01</v>
      </c>
      <c r="C911">
        <v>0.3</v>
      </c>
      <c r="D911">
        <v>4.4367937329256248</v>
      </c>
      <c r="E911">
        <v>1.8231282431290428</v>
      </c>
      <c r="F911">
        <v>0.56497301491211172</v>
      </c>
      <c r="G911" s="166">
        <v>40.924286896118396</v>
      </c>
    </row>
    <row r="912" spans="1:7" x14ac:dyDescent="0.25">
      <c r="A912">
        <v>41</v>
      </c>
      <c r="B912">
        <v>0.01</v>
      </c>
      <c r="C912">
        <v>0.3</v>
      </c>
      <c r="D912">
        <v>4.4109943367604609</v>
      </c>
      <c r="E912">
        <v>1.8125269822556034</v>
      </c>
      <c r="F912">
        <v>0.56168776806230303</v>
      </c>
      <c r="G912" s="166">
        <v>40.711869011396836</v>
      </c>
    </row>
    <row r="913" spans="1:7" x14ac:dyDescent="0.25">
      <c r="A913">
        <v>40</v>
      </c>
      <c r="B913">
        <v>0.01</v>
      </c>
      <c r="C913">
        <v>0.3</v>
      </c>
      <c r="D913">
        <v>4.3848489510424002</v>
      </c>
      <c r="E913">
        <v>1.8017835503993138</v>
      </c>
      <c r="F913">
        <v>0.55835846355000318</v>
      </c>
      <c r="G913" s="166">
        <v>40.468398121520337</v>
      </c>
    </row>
    <row r="914" spans="1:7" x14ac:dyDescent="0.25">
      <c r="A914">
        <v>39</v>
      </c>
      <c r="B914">
        <v>0.01</v>
      </c>
      <c r="C914">
        <v>0.3</v>
      </c>
      <c r="D914">
        <v>4.3558538370128081</v>
      </c>
      <c r="E914">
        <v>1.7898691332588894</v>
      </c>
      <c r="F914">
        <v>0.55466627996494</v>
      </c>
      <c r="G914" s="166">
        <v>40.243172613165605</v>
      </c>
    </row>
    <row r="915" spans="1:7" x14ac:dyDescent="0.25">
      <c r="A915">
        <v>38</v>
      </c>
      <c r="B915">
        <v>0.01</v>
      </c>
      <c r="C915">
        <v>0.3</v>
      </c>
      <c r="D915">
        <v>4.3266331722063045</v>
      </c>
      <c r="E915">
        <v>1.7778620347777494</v>
      </c>
      <c r="F915">
        <v>0.55094537516583852</v>
      </c>
      <c r="G915" s="166">
        <v>40.000911690459183</v>
      </c>
    </row>
    <row r="916" spans="1:7" x14ac:dyDescent="0.25">
      <c r="A916">
        <v>37</v>
      </c>
      <c r="B916">
        <v>0.01</v>
      </c>
      <c r="C916">
        <v>0.3</v>
      </c>
      <c r="D916">
        <v>4.2952394992791616</v>
      </c>
      <c r="E916">
        <v>1.7649620229191207</v>
      </c>
      <c r="F916">
        <v>0.54694776357727426</v>
      </c>
      <c r="G916" s="166">
        <v>39.753762583359538</v>
      </c>
    </row>
    <row r="917" spans="1:7" x14ac:dyDescent="0.25">
      <c r="A917">
        <v>36</v>
      </c>
      <c r="B917">
        <v>0.01</v>
      </c>
      <c r="C917">
        <v>0.3</v>
      </c>
      <c r="D917">
        <v>4.2624772140135203</v>
      </c>
      <c r="E917">
        <v>1.7514996329202384</v>
      </c>
      <c r="F917">
        <v>0.54277587545351991</v>
      </c>
      <c r="G917" s="166">
        <v>39.506191335122871</v>
      </c>
    </row>
    <row r="918" spans="1:7" x14ac:dyDescent="0.25">
      <c r="A918">
        <v>35</v>
      </c>
      <c r="B918">
        <v>0.01</v>
      </c>
      <c r="C918">
        <v>0.3</v>
      </c>
      <c r="D918">
        <v>4.2279259494553578</v>
      </c>
      <c r="E918">
        <v>1.7373021312909995</v>
      </c>
      <c r="F918">
        <v>0.53837618205294824</v>
      </c>
      <c r="G918" s="166">
        <v>39.24323597302439</v>
      </c>
    </row>
    <row r="919" spans="1:7" x14ac:dyDescent="0.25">
      <c r="A919">
        <v>34</v>
      </c>
      <c r="B919">
        <v>0.01</v>
      </c>
      <c r="C919">
        <v>0.3</v>
      </c>
      <c r="D919">
        <v>4.1912985394115401</v>
      </c>
      <c r="E919">
        <v>1.722251518225983</v>
      </c>
      <c r="F919">
        <v>0.53371211616967063</v>
      </c>
      <c r="G919" s="166">
        <v>38.941638848789374</v>
      </c>
    </row>
    <row r="920" spans="1:7" x14ac:dyDescent="0.25">
      <c r="A920">
        <v>33</v>
      </c>
      <c r="B920">
        <v>0.01</v>
      </c>
      <c r="C920">
        <v>0.3</v>
      </c>
      <c r="D920">
        <v>4.1508744929654755</v>
      </c>
      <c r="E920">
        <v>1.7056408247356674</v>
      </c>
      <c r="F920">
        <v>0.52856459370855302</v>
      </c>
      <c r="G920" s="166">
        <v>38.54757605519535</v>
      </c>
    </row>
    <row r="921" spans="1:7" x14ac:dyDescent="0.25">
      <c r="A921">
        <v>32</v>
      </c>
      <c r="B921">
        <v>0.01</v>
      </c>
      <c r="C921">
        <v>0.3</v>
      </c>
      <c r="D921">
        <v>4.1038992706551358</v>
      </c>
      <c r="E921">
        <v>1.6863381797004262</v>
      </c>
      <c r="F921">
        <v>0.52258285676687666</v>
      </c>
      <c r="G921" s="166">
        <v>38.15221784800103</v>
      </c>
    </row>
    <row r="922" spans="1:7" x14ac:dyDescent="0.25">
      <c r="A922">
        <v>31</v>
      </c>
      <c r="B922">
        <v>0.01</v>
      </c>
      <c r="C922">
        <v>0.3</v>
      </c>
      <c r="D922">
        <v>4.0491768706638691</v>
      </c>
      <c r="E922">
        <v>1.6638521325769111</v>
      </c>
      <c r="F922">
        <v>0.51561460871043485</v>
      </c>
      <c r="G922" s="166">
        <v>37.773039484060646</v>
      </c>
    </row>
    <row r="923" spans="1:7" x14ac:dyDescent="0.25">
      <c r="A923">
        <v>30</v>
      </c>
      <c r="B923">
        <v>0.01</v>
      </c>
      <c r="C923">
        <v>0.3</v>
      </c>
      <c r="D923">
        <v>3.9851130963590142</v>
      </c>
      <c r="E923">
        <v>1.6375276101115384</v>
      </c>
      <c r="F923">
        <v>0.50745684752197495</v>
      </c>
      <c r="G923" s="166">
        <v>37.426048482289438</v>
      </c>
    </row>
    <row r="924" spans="1:7" x14ac:dyDescent="0.25">
      <c r="A924">
        <v>29</v>
      </c>
      <c r="B924">
        <v>0.01</v>
      </c>
      <c r="C924">
        <v>0.3</v>
      </c>
      <c r="D924">
        <v>3.9115083104098658</v>
      </c>
      <c r="E924">
        <v>1.6072825790889052</v>
      </c>
      <c r="F924">
        <v>0.49808415175722726</v>
      </c>
      <c r="G924" s="166">
        <v>37.114890672308263</v>
      </c>
    </row>
    <row r="925" spans="1:7" x14ac:dyDescent="0.25">
      <c r="A925">
        <v>28</v>
      </c>
      <c r="B925">
        <v>0.01</v>
      </c>
      <c r="C925">
        <v>0.3</v>
      </c>
      <c r="D925">
        <v>3.8277626902391813</v>
      </c>
      <c r="E925">
        <v>1.5728705656931741</v>
      </c>
      <c r="F925">
        <v>0.4874201411311761</v>
      </c>
      <c r="G925" s="166">
        <v>36.848527675024698</v>
      </c>
    </row>
    <row r="926" spans="1:7" x14ac:dyDescent="0.25">
      <c r="A926">
        <v>27</v>
      </c>
      <c r="B926">
        <v>0.01</v>
      </c>
      <c r="C926">
        <v>0.3</v>
      </c>
      <c r="D926">
        <v>3.7330643472131833</v>
      </c>
      <c r="E926">
        <v>1.5339579557904424</v>
      </c>
      <c r="F926">
        <v>0.47536143126383679</v>
      </c>
      <c r="G926" s="166">
        <v>36.637414019789766</v>
      </c>
    </row>
    <row r="927" spans="1:7" x14ac:dyDescent="0.25">
      <c r="A927">
        <v>26</v>
      </c>
      <c r="B927">
        <v>0.01</v>
      </c>
      <c r="C927">
        <v>0.3</v>
      </c>
      <c r="D927">
        <v>3.6263705867838452</v>
      </c>
      <c r="E927">
        <v>1.4901162945112947</v>
      </c>
      <c r="F927">
        <v>0.46177524738182751</v>
      </c>
      <c r="G927" s="166">
        <v>36.499267160117235</v>
      </c>
    </row>
    <row r="928" spans="1:7" x14ac:dyDescent="0.25">
      <c r="A928">
        <v>25</v>
      </c>
      <c r="B928">
        <v>0.01</v>
      </c>
      <c r="C928">
        <v>0.3</v>
      </c>
      <c r="D928">
        <v>3.506963266498679</v>
      </c>
      <c r="E928">
        <v>1.4410504890778082</v>
      </c>
      <c r="F928">
        <v>0.44657014256853661</v>
      </c>
      <c r="G928" s="166">
        <v>36.42109363278653</v>
      </c>
    </row>
    <row r="929" spans="1:7" x14ac:dyDescent="0.25">
      <c r="A929">
        <v>24</v>
      </c>
      <c r="B929">
        <v>0.01</v>
      </c>
      <c r="C929">
        <v>0.3</v>
      </c>
      <c r="D929">
        <v>3.3761349432596415</v>
      </c>
      <c r="E929">
        <v>1.3872916655994341</v>
      </c>
      <c r="F929">
        <v>0.42991070860212677</v>
      </c>
      <c r="G929" s="166">
        <v>36.32012567358899</v>
      </c>
    </row>
    <row r="930" spans="1:7" x14ac:dyDescent="0.25">
      <c r="A930">
        <v>23</v>
      </c>
      <c r="B930">
        <v>0.01</v>
      </c>
      <c r="C930">
        <v>0.3</v>
      </c>
      <c r="D930">
        <v>3.2395925547892754</v>
      </c>
      <c r="E930">
        <v>1.3311848687120174</v>
      </c>
      <c r="F930">
        <v>0.41252365625733922</v>
      </c>
      <c r="G930" s="166">
        <v>36.274989993509962</v>
      </c>
    </row>
    <row r="931" spans="1:7" x14ac:dyDescent="0.25">
      <c r="A931">
        <v>22</v>
      </c>
      <c r="B931">
        <v>0.01</v>
      </c>
      <c r="C931">
        <v>0.3</v>
      </c>
      <c r="D931">
        <v>3.1018217342986376</v>
      </c>
      <c r="E931">
        <v>1.274573295347321</v>
      </c>
      <c r="F931">
        <v>0.39498017767687665</v>
      </c>
      <c r="G931" s="166">
        <v>36.240234048109308</v>
      </c>
    </row>
    <row r="932" spans="1:7" x14ac:dyDescent="0.25">
      <c r="A932">
        <v>21</v>
      </c>
      <c r="B932">
        <v>0.01</v>
      </c>
      <c r="C932">
        <v>0.3</v>
      </c>
      <c r="D932">
        <v>2.9640509138079989</v>
      </c>
      <c r="E932">
        <v>1.2179617219826244</v>
      </c>
      <c r="F932">
        <v>0.37743669909641403</v>
      </c>
      <c r="G932" s="166">
        <v>36.202247149358648</v>
      </c>
    </row>
    <row r="933" spans="1:7" x14ac:dyDescent="0.25">
      <c r="A933">
        <v>20</v>
      </c>
      <c r="B933">
        <v>0.01</v>
      </c>
      <c r="C933">
        <v>0.3</v>
      </c>
      <c r="D933">
        <v>2.8262800933173624</v>
      </c>
      <c r="E933">
        <v>1.161350148617929</v>
      </c>
      <c r="F933">
        <v>0.35989322051595174</v>
      </c>
      <c r="G933" s="166">
        <v>36.160556805771648</v>
      </c>
    </row>
    <row r="934" spans="1:7" x14ac:dyDescent="0.25">
      <c r="A934">
        <v>19</v>
      </c>
      <c r="B934">
        <v>0.01</v>
      </c>
      <c r="C934">
        <v>0.3</v>
      </c>
      <c r="D934">
        <v>2.6885092728267233</v>
      </c>
      <c r="E934">
        <v>1.1047385752532322</v>
      </c>
      <c r="F934">
        <v>0.34234974193548906</v>
      </c>
      <c r="G934" s="166">
        <v>36.114593675848752</v>
      </c>
    </row>
    <row r="935" spans="1:7" x14ac:dyDescent="0.25">
      <c r="A935">
        <v>18</v>
      </c>
      <c r="B935">
        <v>0.01</v>
      </c>
      <c r="C935">
        <v>0.3</v>
      </c>
      <c r="D935">
        <v>2.5507384523360859</v>
      </c>
      <c r="E935">
        <v>1.0481270018885362</v>
      </c>
      <c r="F935">
        <v>0.3248062633550266</v>
      </c>
      <c r="G935" s="166">
        <v>36.063665412698619</v>
      </c>
    </row>
    <row r="936" spans="1:7" x14ac:dyDescent="0.25">
      <c r="A936">
        <v>17</v>
      </c>
      <c r="B936">
        <v>0.01</v>
      </c>
      <c r="C936">
        <v>0.3</v>
      </c>
      <c r="D936">
        <v>2.412967631845448</v>
      </c>
      <c r="E936">
        <v>0.99151542852384</v>
      </c>
      <c r="F936">
        <v>0.30726278477456409</v>
      </c>
      <c r="G936" s="166">
        <v>36.006921548453995</v>
      </c>
    </row>
    <row r="937" spans="1:7" x14ac:dyDescent="0.25">
      <c r="A937">
        <v>16</v>
      </c>
      <c r="B937">
        <v>0.01</v>
      </c>
      <c r="C937">
        <v>0.3</v>
      </c>
      <c r="D937">
        <v>2.2751968113548107</v>
      </c>
      <c r="E937">
        <v>0.93490385515914398</v>
      </c>
      <c r="F937">
        <v>0.28971930619410163</v>
      </c>
      <c r="G937" s="166">
        <v>35.943305620486541</v>
      </c>
    </row>
    <row r="938" spans="1:7" x14ac:dyDescent="0.25">
      <c r="A938">
        <v>15</v>
      </c>
      <c r="B938">
        <v>0.01</v>
      </c>
      <c r="C938">
        <v>0.3</v>
      </c>
      <c r="D938">
        <v>2.1374259908641733</v>
      </c>
      <c r="E938">
        <v>0.87829228179444796</v>
      </c>
      <c r="F938">
        <v>0.27217582761363918</v>
      </c>
      <c r="G938" s="166">
        <v>35.871488782986056</v>
      </c>
    </row>
    <row r="939" spans="1:7" x14ac:dyDescent="0.25">
      <c r="A939">
        <v>14</v>
      </c>
      <c r="B939">
        <v>0.01</v>
      </c>
      <c r="C939">
        <v>0.3</v>
      </c>
      <c r="D939">
        <v>1.9996551703735355</v>
      </c>
      <c r="E939">
        <v>0.82168070842975172</v>
      </c>
      <c r="F939">
        <v>0.25463234903317666</v>
      </c>
      <c r="G939" s="166">
        <v>35.789775974646098</v>
      </c>
    </row>
    <row r="940" spans="1:7" x14ac:dyDescent="0.25">
      <c r="A940">
        <v>13</v>
      </c>
      <c r="B940">
        <v>0.01</v>
      </c>
      <c r="C940">
        <v>0.3</v>
      </c>
      <c r="D940">
        <v>1.8617532075612513</v>
      </c>
      <c r="E940">
        <v>0.76501524721611447</v>
      </c>
      <c r="F940">
        <v>0.23707217103477793</v>
      </c>
      <c r="G940" s="166">
        <v>35.698278200535327</v>
      </c>
    </row>
    <row r="941" spans="1:7" x14ac:dyDescent="0.25">
      <c r="A941">
        <v>12</v>
      </c>
      <c r="B941">
        <v>0.01</v>
      </c>
      <c r="C941">
        <v>0.3</v>
      </c>
      <c r="D941">
        <v>1.7238378910430485</v>
      </c>
      <c r="E941">
        <v>0.70834429881513505</v>
      </c>
      <c r="F941">
        <v>0.21951029260044563</v>
      </c>
      <c r="G941" s="166">
        <v>35.592394421594747</v>
      </c>
    </row>
    <row r="942" spans="1:7" x14ac:dyDescent="0.25">
      <c r="A942">
        <v>11</v>
      </c>
      <c r="B942">
        <v>0.01</v>
      </c>
      <c r="C942">
        <v>0.3</v>
      </c>
      <c r="D942">
        <v>1.5859225745248466</v>
      </c>
      <c r="E942">
        <v>0.65167335041415597</v>
      </c>
      <c r="F942">
        <v>0.20194841416611345</v>
      </c>
      <c r="G942" s="166">
        <v>35.468094869877703</v>
      </c>
    </row>
    <row r="943" spans="1:7" x14ac:dyDescent="0.25">
      <c r="A943">
        <v>10</v>
      </c>
      <c r="B943">
        <v>0.01</v>
      </c>
      <c r="C943">
        <v>0.3</v>
      </c>
      <c r="D943">
        <v>1.4480072580066448</v>
      </c>
      <c r="E943">
        <v>0.595002402013177</v>
      </c>
      <c r="F943">
        <v>0.18438653573178129</v>
      </c>
      <c r="G943" s="166">
        <v>35.320117519691969</v>
      </c>
    </row>
    <row r="944" spans="1:7" x14ac:dyDescent="0.25">
      <c r="A944">
        <v>9</v>
      </c>
      <c r="B944">
        <v>0.01</v>
      </c>
      <c r="C944">
        <v>0.3</v>
      </c>
      <c r="D944">
        <v>1.3100919414884422</v>
      </c>
      <c r="E944">
        <v>0.5383314536121977</v>
      </c>
      <c r="F944">
        <v>0.16682465729744902</v>
      </c>
      <c r="G944" s="166">
        <v>35.140984580433319</v>
      </c>
    </row>
    <row r="945" spans="1:7" x14ac:dyDescent="0.25">
      <c r="A945">
        <v>8</v>
      </c>
      <c r="B945">
        <v>0.01</v>
      </c>
      <c r="C945">
        <v>0.3</v>
      </c>
      <c r="D945">
        <v>1.1721766249702401</v>
      </c>
      <c r="E945">
        <v>0.4816605052112185</v>
      </c>
      <c r="F945">
        <v>0.14926277886311681</v>
      </c>
      <c r="G945" s="166">
        <v>34.919698990302081</v>
      </c>
    </row>
    <row r="946" spans="1:7" x14ac:dyDescent="0.25">
      <c r="A946">
        <v>7</v>
      </c>
      <c r="B946">
        <v>0.01</v>
      </c>
      <c r="C946">
        <v>0.3</v>
      </c>
      <c r="D946">
        <v>1.0342577879864026</v>
      </c>
      <c r="E946">
        <v>0.42498811021147564</v>
      </c>
      <c r="F946">
        <v>0.13170045213927564</v>
      </c>
      <c r="G946" s="166">
        <v>34.639506573351014</v>
      </c>
    </row>
    <row r="947" spans="1:7" x14ac:dyDescent="0.25">
      <c r="A947">
        <v>6</v>
      </c>
      <c r="B947">
        <v>0.01</v>
      </c>
      <c r="C947">
        <v>0.3</v>
      </c>
      <c r="D947">
        <v>0.89605724383900609</v>
      </c>
      <c r="E947">
        <v>0.36819995858271387</v>
      </c>
      <c r="F947">
        <v>0.11410225335216115</v>
      </c>
      <c r="G947" s="166">
        <v>34.283001044398816</v>
      </c>
    </row>
    <row r="948" spans="1:7" x14ac:dyDescent="0.25">
      <c r="A948">
        <v>5</v>
      </c>
      <c r="B948">
        <v>0.01</v>
      </c>
      <c r="C948">
        <v>0.3</v>
      </c>
      <c r="D948">
        <v>0.7578566996916094</v>
      </c>
      <c r="E948">
        <v>0.31141180695395193</v>
      </c>
      <c r="F948">
        <v>9.6504054565046626E-2</v>
      </c>
      <c r="G948" s="166">
        <v>33.796472892138553</v>
      </c>
    </row>
    <row r="949" spans="1:7" x14ac:dyDescent="0.25">
      <c r="A949">
        <v>4</v>
      </c>
      <c r="B949">
        <v>0.01</v>
      </c>
      <c r="C949">
        <v>0.3</v>
      </c>
      <c r="D949">
        <v>0.61936461839532209</v>
      </c>
      <c r="E949">
        <v>0.25450385944508869</v>
      </c>
      <c r="F949">
        <v>7.886873198271363E-2</v>
      </c>
      <c r="G949" s="166">
        <v>33.107296467263829</v>
      </c>
    </row>
    <row r="950" spans="1:7" x14ac:dyDescent="0.25">
      <c r="A950">
        <v>3</v>
      </c>
      <c r="B950">
        <v>0.01</v>
      </c>
      <c r="C950">
        <v>0.3</v>
      </c>
      <c r="D950">
        <v>0.48044740789264306</v>
      </c>
      <c r="E950">
        <v>0.19742122158327979</v>
      </c>
      <c r="F950">
        <v>6.1179274242444445E-2</v>
      </c>
      <c r="G950" s="166">
        <v>32.047318959133158</v>
      </c>
    </row>
    <row r="951" spans="1:7" x14ac:dyDescent="0.25">
      <c r="A951">
        <v>2</v>
      </c>
      <c r="B951">
        <v>0.01</v>
      </c>
      <c r="C951">
        <v>0.3</v>
      </c>
      <c r="D951">
        <v>0.34039741571400045</v>
      </c>
      <c r="E951">
        <v>0.13987311104208486</v>
      </c>
      <c r="F951">
        <v>4.3345570202430253E-2</v>
      </c>
      <c r="G951" s="166">
        <v>30.217840250938099</v>
      </c>
    </row>
    <row r="952" spans="1:7" x14ac:dyDescent="0.25">
      <c r="A952">
        <v>1</v>
      </c>
      <c r="B952">
        <v>0.01</v>
      </c>
      <c r="C952">
        <v>0.3</v>
      </c>
      <c r="D952">
        <v>0.19599952530162287</v>
      </c>
      <c r="E952">
        <v>8.0538400414131697E-2</v>
      </c>
      <c r="F952">
        <v>2.4958212934091534E-2</v>
      </c>
      <c r="G952" s="166">
        <v>26.361663839718812</v>
      </c>
    </row>
    <row r="953" spans="1:7" x14ac:dyDescent="0.25">
      <c r="A953">
        <v>50</v>
      </c>
      <c r="B953">
        <v>5.0000000000000001E-3</v>
      </c>
      <c r="C953">
        <v>0.3</v>
      </c>
      <c r="D953">
        <v>4.581469342741423</v>
      </c>
      <c r="E953">
        <v>1.8825770717707055</v>
      </c>
      <c r="F953">
        <v>0.5833957364498068</v>
      </c>
      <c r="G953" s="166">
        <v>42.307755902267871</v>
      </c>
    </row>
    <row r="954" spans="1:7" x14ac:dyDescent="0.25">
      <c r="A954">
        <v>49</v>
      </c>
      <c r="B954">
        <v>5.0000000000000001E-3</v>
      </c>
      <c r="C954">
        <v>0.3</v>
      </c>
      <c r="D954">
        <v>4.5622685903193778</v>
      </c>
      <c r="E954">
        <v>1.8746872675253152</v>
      </c>
      <c r="F954">
        <v>0.58095074855146012</v>
      </c>
      <c r="G954" s="166">
        <v>42.128993469932567</v>
      </c>
    </row>
    <row r="955" spans="1:7" x14ac:dyDescent="0.25">
      <c r="A955">
        <v>48</v>
      </c>
      <c r="B955">
        <v>5.0000000000000001E-3</v>
      </c>
      <c r="C955">
        <v>0.3</v>
      </c>
      <c r="D955">
        <v>4.5427914926781536</v>
      </c>
      <c r="E955">
        <v>1.8666839099339123</v>
      </c>
      <c r="F955">
        <v>0.57847057136980773</v>
      </c>
      <c r="G955" s="166">
        <v>41.925956563110667</v>
      </c>
    </row>
    <row r="956" spans="1:7" x14ac:dyDescent="0.25">
      <c r="A956">
        <v>47</v>
      </c>
      <c r="B956">
        <v>5.0000000000000001E-3</v>
      </c>
      <c r="C956">
        <v>0.3</v>
      </c>
      <c r="D956">
        <v>4.5213772205043572</v>
      </c>
      <c r="E956">
        <v>1.8578845456280229</v>
      </c>
      <c r="F956">
        <v>0.57574371800666968</v>
      </c>
      <c r="G956" s="166">
        <v>41.729736887506675</v>
      </c>
    </row>
    <row r="957" spans="1:7" x14ac:dyDescent="0.25">
      <c r="A957">
        <v>46</v>
      </c>
      <c r="B957">
        <v>5.0000000000000001E-3</v>
      </c>
      <c r="C957">
        <v>0.3</v>
      </c>
      <c r="D957">
        <v>4.4993729943013934</v>
      </c>
      <c r="E957">
        <v>1.8488427626032413</v>
      </c>
      <c r="F957">
        <v>0.57294174100096851</v>
      </c>
      <c r="G957" s="166">
        <v>41.537650426888277</v>
      </c>
    </row>
    <row r="958" spans="1:7" x14ac:dyDescent="0.25">
      <c r="A958">
        <v>45</v>
      </c>
      <c r="B958">
        <v>5.0000000000000001E-3</v>
      </c>
      <c r="C958">
        <v>0.3</v>
      </c>
      <c r="D958">
        <v>4.4772771494201971</v>
      </c>
      <c r="E958">
        <v>1.8397633324373175</v>
      </c>
      <c r="F958">
        <v>0.57012809744415438</v>
      </c>
      <c r="G958" s="166">
        <v>41.321202192420081</v>
      </c>
    </row>
    <row r="959" spans="1:7" x14ac:dyDescent="0.25">
      <c r="A959">
        <v>44</v>
      </c>
      <c r="B959">
        <v>5.0000000000000001E-3</v>
      </c>
      <c r="C959">
        <v>0.3</v>
      </c>
      <c r="D959">
        <v>4.4529602599168667</v>
      </c>
      <c r="E959">
        <v>1.8297712501573651</v>
      </c>
      <c r="F959">
        <v>0.56703163021962955</v>
      </c>
      <c r="G959" s="166">
        <v>41.111361395461607</v>
      </c>
    </row>
    <row r="960" spans="1:7" x14ac:dyDescent="0.25">
      <c r="A960">
        <v>43</v>
      </c>
      <c r="B960">
        <v>5.0000000000000001E-3</v>
      </c>
      <c r="C960">
        <v>0.3</v>
      </c>
      <c r="D960">
        <v>4.4279593861807376</v>
      </c>
      <c r="E960">
        <v>1.8194981110945796</v>
      </c>
      <c r="F960">
        <v>0.56384806572229518</v>
      </c>
      <c r="G960" s="166">
        <v>40.906106197772125</v>
      </c>
    </row>
    <row r="961" spans="1:7" x14ac:dyDescent="0.25">
      <c r="A961">
        <v>42</v>
      </c>
      <c r="B961">
        <v>5.0000000000000001E-3</v>
      </c>
      <c r="C961">
        <v>0.3</v>
      </c>
      <c r="D961">
        <v>4.4026655081765176</v>
      </c>
      <c r="E961">
        <v>1.8091045732959796</v>
      </c>
      <c r="F961">
        <v>0.56062719060952748</v>
      </c>
      <c r="G961" s="166">
        <v>40.667034231294537</v>
      </c>
    </row>
    <row r="962" spans="1:7" x14ac:dyDescent="0.25">
      <c r="A962">
        <v>41</v>
      </c>
      <c r="B962">
        <v>5.0000000000000001E-3</v>
      </c>
      <c r="C962">
        <v>0.3</v>
      </c>
      <c r="D962">
        <v>4.374500718555014</v>
      </c>
      <c r="E962">
        <v>1.7975313457556286</v>
      </c>
      <c r="F962">
        <v>0.55704073898146556</v>
      </c>
      <c r="G962" s="166">
        <v>40.451104201650949</v>
      </c>
    </row>
    <row r="963" spans="1:7" x14ac:dyDescent="0.25">
      <c r="A963">
        <v>40</v>
      </c>
      <c r="B963">
        <v>5.0000000000000001E-3</v>
      </c>
      <c r="C963">
        <v>0.3</v>
      </c>
      <c r="D963">
        <v>4.3462256035049913</v>
      </c>
      <c r="E963">
        <v>1.7859127842609008</v>
      </c>
      <c r="F963">
        <v>0.55344023871970005</v>
      </c>
      <c r="G963" s="166">
        <v>40.214201628085839</v>
      </c>
    </row>
    <row r="964" spans="1:7" x14ac:dyDescent="0.25">
      <c r="A964">
        <v>39</v>
      </c>
      <c r="B964">
        <v>5.0000000000000001E-3</v>
      </c>
      <c r="C964">
        <v>0.3</v>
      </c>
      <c r="D964">
        <v>4.3158511643048385</v>
      </c>
      <c r="E964">
        <v>1.7734315869575299</v>
      </c>
      <c r="F964">
        <v>0.54957241444745042</v>
      </c>
      <c r="G964" s="166">
        <v>39.977148208123779</v>
      </c>
    </row>
    <row r="965" spans="1:7" x14ac:dyDescent="0.25">
      <c r="A965">
        <v>38</v>
      </c>
      <c r="B965">
        <v>5.0000000000000001E-3</v>
      </c>
      <c r="C965">
        <v>0.3</v>
      </c>
      <c r="D965">
        <v>4.2842140221774452</v>
      </c>
      <c r="E965">
        <v>1.7604315308773242</v>
      </c>
      <c r="F965">
        <v>0.54554379994633628</v>
      </c>
      <c r="G965" s="166">
        <v>39.735818120599859</v>
      </c>
    </row>
    <row r="966" spans="1:7" x14ac:dyDescent="0.25">
      <c r="A966">
        <v>37</v>
      </c>
      <c r="B966">
        <v>5.0000000000000001E-3</v>
      </c>
      <c r="C966">
        <v>0.3</v>
      </c>
      <c r="D966">
        <v>4.2508295933400237</v>
      </c>
      <c r="E966">
        <v>1.7467134951159229</v>
      </c>
      <c r="F966">
        <v>0.5412926892238733</v>
      </c>
      <c r="G966" s="166">
        <v>39.463096420643865</v>
      </c>
    </row>
    <row r="967" spans="1:7" x14ac:dyDescent="0.25">
      <c r="A967">
        <v>36</v>
      </c>
      <c r="B967">
        <v>5.0000000000000001E-3</v>
      </c>
      <c r="C967">
        <v>0.3</v>
      </c>
      <c r="D967">
        <v>4.2154763369371251</v>
      </c>
      <c r="E967">
        <v>1.732186446054256</v>
      </c>
      <c r="F967">
        <v>0.53679087168192141</v>
      </c>
      <c r="G967" s="166">
        <v>39.154092883368442</v>
      </c>
    </row>
    <row r="968" spans="1:7" x14ac:dyDescent="0.25">
      <c r="A968">
        <v>35</v>
      </c>
      <c r="B968">
        <v>5.0000000000000001E-3</v>
      </c>
      <c r="C968">
        <v>0.3</v>
      </c>
      <c r="D968">
        <v>4.1749910443252674</v>
      </c>
      <c r="E968">
        <v>1.7155505858283737</v>
      </c>
      <c r="F968">
        <v>0.53163555024861298</v>
      </c>
      <c r="G968" s="166">
        <v>38.765584213273385</v>
      </c>
    </row>
    <row r="969" spans="1:7" x14ac:dyDescent="0.25">
      <c r="A969">
        <v>34</v>
      </c>
      <c r="B969">
        <v>5.0000000000000001E-3</v>
      </c>
      <c r="C969">
        <v>0.3</v>
      </c>
      <c r="D969">
        <v>4.1269319929492623</v>
      </c>
      <c r="E969">
        <v>1.6958025832896555</v>
      </c>
      <c r="F969">
        <v>0.52551580054102098</v>
      </c>
      <c r="G969" s="166">
        <v>38.382511938745232</v>
      </c>
    </row>
    <row r="970" spans="1:7" x14ac:dyDescent="0.25">
      <c r="A970">
        <v>33</v>
      </c>
      <c r="B970">
        <v>5.0000000000000001E-3</v>
      </c>
      <c r="C970">
        <v>0.3</v>
      </c>
      <c r="D970">
        <v>4.0701151778926832</v>
      </c>
      <c r="E970">
        <v>1.6724559175554372</v>
      </c>
      <c r="F970">
        <v>0.51828085358777309</v>
      </c>
      <c r="G970" s="166">
        <v>38.027352481416848</v>
      </c>
    </row>
    <row r="971" spans="1:7" x14ac:dyDescent="0.25">
      <c r="A971">
        <v>32</v>
      </c>
      <c r="B971">
        <v>5.0000000000000001E-3</v>
      </c>
      <c r="C971">
        <v>0.3</v>
      </c>
      <c r="D971">
        <v>4.0028301053429027</v>
      </c>
      <c r="E971">
        <v>1.6448077275581972</v>
      </c>
      <c r="F971">
        <v>0.50971289830625433</v>
      </c>
      <c r="G971" s="166">
        <v>37.720819725480119</v>
      </c>
    </row>
    <row r="972" spans="1:7" x14ac:dyDescent="0.25">
      <c r="A972">
        <v>31</v>
      </c>
      <c r="B972">
        <v>5.0000000000000001E-3</v>
      </c>
      <c r="C972">
        <v>0.3</v>
      </c>
      <c r="D972">
        <v>3.925374114069196</v>
      </c>
      <c r="E972">
        <v>1.6129801931288388</v>
      </c>
      <c r="F972">
        <v>0.49984979725917078</v>
      </c>
      <c r="G972" s="166">
        <v>37.46368581739943</v>
      </c>
    </row>
    <row r="973" spans="1:7" x14ac:dyDescent="0.25">
      <c r="A973">
        <v>30</v>
      </c>
      <c r="B973">
        <v>5.0000000000000001E-3</v>
      </c>
      <c r="C973">
        <v>0.3</v>
      </c>
      <c r="D973">
        <v>3.837661202024047</v>
      </c>
      <c r="E973">
        <v>1.5769379750626953</v>
      </c>
      <c r="F973">
        <v>0.48868059910665901</v>
      </c>
      <c r="G973" s="166">
        <v>37.261069025898372</v>
      </c>
    </row>
    <row r="974" spans="1:7" x14ac:dyDescent="0.25">
      <c r="A974">
        <v>29</v>
      </c>
      <c r="B974">
        <v>5.0000000000000001E-3</v>
      </c>
      <c r="C974">
        <v>0.3</v>
      </c>
      <c r="D974">
        <v>3.7393821676435355</v>
      </c>
      <c r="E974">
        <v>1.5365540189736633</v>
      </c>
      <c r="F974">
        <v>0.47616593069993196</v>
      </c>
      <c r="G974" s="166">
        <v>37.123328968392158</v>
      </c>
    </row>
    <row r="975" spans="1:7" x14ac:dyDescent="0.25">
      <c r="A975">
        <v>28</v>
      </c>
      <c r="B975">
        <v>5.0000000000000001E-3</v>
      </c>
      <c r="C975">
        <v>0.3</v>
      </c>
      <c r="D975">
        <v>3.6297539362713755</v>
      </c>
      <c r="E975">
        <v>1.491506550713948</v>
      </c>
      <c r="F975">
        <v>0.46220607677700226</v>
      </c>
      <c r="G975" s="166">
        <v>37.054617515023793</v>
      </c>
    </row>
    <row r="976" spans="1:7" x14ac:dyDescent="0.25">
      <c r="A976">
        <v>27</v>
      </c>
      <c r="B976">
        <v>5.0000000000000001E-3</v>
      </c>
      <c r="C976">
        <v>0.3</v>
      </c>
      <c r="D976">
        <v>3.5101263293458258</v>
      </c>
      <c r="E976">
        <v>1.4423502270324104</v>
      </c>
      <c r="F976">
        <v>0.44697292107497183</v>
      </c>
      <c r="G976" s="166">
        <v>36.95048465555783</v>
      </c>
    </row>
    <row r="977" spans="1:7" x14ac:dyDescent="0.25">
      <c r="A977">
        <v>26</v>
      </c>
      <c r="B977">
        <v>5.0000000000000001E-3</v>
      </c>
      <c r="C977">
        <v>0.3</v>
      </c>
      <c r="D977">
        <v>3.3848959695412284</v>
      </c>
      <c r="E977">
        <v>1.3908916694342359</v>
      </c>
      <c r="F977">
        <v>0.43102632130129293</v>
      </c>
      <c r="G977" s="166">
        <v>36.898824744691758</v>
      </c>
    </row>
    <row r="978" spans="1:7" x14ac:dyDescent="0.25">
      <c r="A978">
        <v>25</v>
      </c>
      <c r="B978">
        <v>5.0000000000000001E-3</v>
      </c>
      <c r="C978">
        <v>0.3</v>
      </c>
      <c r="D978">
        <v>3.257388438306581</v>
      </c>
      <c r="E978">
        <v>1.3384973965879616</v>
      </c>
      <c r="F978">
        <v>0.41478975077716873</v>
      </c>
      <c r="G978" s="166">
        <v>36.868960880839921</v>
      </c>
    </row>
    <row r="979" spans="1:7" x14ac:dyDescent="0.25">
      <c r="A979">
        <v>24</v>
      </c>
      <c r="B979">
        <v>5.0000000000000001E-3</v>
      </c>
      <c r="C979">
        <v>0.3</v>
      </c>
      <c r="D979">
        <v>3.1298809070719331</v>
      </c>
      <c r="E979">
        <v>1.2861031237416873</v>
      </c>
      <c r="F979">
        <v>0.39855318025304454</v>
      </c>
      <c r="G979" s="166">
        <v>36.836663782199949</v>
      </c>
    </row>
    <row r="980" spans="1:7" x14ac:dyDescent="0.25">
      <c r="A980">
        <v>23</v>
      </c>
      <c r="B980">
        <v>5.0000000000000001E-3</v>
      </c>
      <c r="C980">
        <v>0.3</v>
      </c>
      <c r="D980">
        <v>3.0023733758372861</v>
      </c>
      <c r="E980">
        <v>1.2337088508954135</v>
      </c>
      <c r="F980">
        <v>0.3823166097289204</v>
      </c>
      <c r="G980" s="166">
        <v>36.801623438268244</v>
      </c>
    </row>
    <row r="981" spans="1:7" x14ac:dyDescent="0.25">
      <c r="A981">
        <v>22</v>
      </c>
      <c r="B981">
        <v>5.0000000000000001E-3</v>
      </c>
      <c r="C981">
        <v>0.3</v>
      </c>
      <c r="D981">
        <v>2.8748658446026405</v>
      </c>
      <c r="E981">
        <v>1.1813145780491401</v>
      </c>
      <c r="F981">
        <v>0.36608003920479648</v>
      </c>
      <c r="G981" s="166">
        <v>36.763474839558846</v>
      </c>
    </row>
    <row r="982" spans="1:7" x14ac:dyDescent="0.25">
      <c r="A982">
        <v>21</v>
      </c>
      <c r="B982">
        <v>5.0000000000000001E-3</v>
      </c>
      <c r="C982">
        <v>0.3</v>
      </c>
      <c r="D982">
        <v>2.7473583133679922</v>
      </c>
      <c r="E982">
        <v>1.1289203052028656</v>
      </c>
      <c r="F982">
        <v>0.34984346868067223</v>
      </c>
      <c r="G982" s="166">
        <v>36.721785214826149</v>
      </c>
    </row>
    <row r="983" spans="1:7" x14ac:dyDescent="0.25">
      <c r="A983">
        <v>20</v>
      </c>
      <c r="B983">
        <v>5.0000000000000001E-3</v>
      </c>
      <c r="C983">
        <v>0.3</v>
      </c>
      <c r="D983">
        <v>2.6198507821333457</v>
      </c>
      <c r="E983">
        <v>1.0765260323565917</v>
      </c>
      <c r="F983">
        <v>0.33360689815654815</v>
      </c>
      <c r="G983" s="166">
        <v>36.676037541319054</v>
      </c>
    </row>
    <row r="984" spans="1:7" x14ac:dyDescent="0.25">
      <c r="A984">
        <v>19</v>
      </c>
      <c r="B984">
        <v>5.0000000000000001E-3</v>
      </c>
      <c r="C984">
        <v>0.3</v>
      </c>
      <c r="D984">
        <v>2.4923432508986982</v>
      </c>
      <c r="E984">
        <v>1.0241317595103177</v>
      </c>
      <c r="F984">
        <v>0.31737032763242401</v>
      </c>
      <c r="G984" s="166">
        <v>36.625608993372616</v>
      </c>
    </row>
    <row r="985" spans="1:7" x14ac:dyDescent="0.25">
      <c r="A985">
        <v>18</v>
      </c>
      <c r="B985">
        <v>5.0000000000000001E-3</v>
      </c>
      <c r="C985">
        <v>0.3</v>
      </c>
      <c r="D985">
        <v>2.3648357196640508</v>
      </c>
      <c r="E985">
        <v>0.97173748666404347</v>
      </c>
      <c r="F985">
        <v>0.30113375710829982</v>
      </c>
      <c r="G985" s="166">
        <v>36.569742418929096</v>
      </c>
    </row>
    <row r="986" spans="1:7" x14ac:dyDescent="0.25">
      <c r="A986">
        <v>17</v>
      </c>
      <c r="B986">
        <v>5.0000000000000001E-3</v>
      </c>
      <c r="C986">
        <v>0.3</v>
      </c>
      <c r="D986">
        <v>2.2373281884294038</v>
      </c>
      <c r="E986">
        <v>0.91934321381776962</v>
      </c>
      <c r="F986">
        <v>0.28489718658417573</v>
      </c>
      <c r="G986" s="166">
        <v>36.507508062572583</v>
      </c>
    </row>
    <row r="987" spans="1:7" x14ac:dyDescent="0.25">
      <c r="A987">
        <v>16</v>
      </c>
      <c r="B987">
        <v>5.0000000000000001E-3</v>
      </c>
      <c r="C987">
        <v>0.3</v>
      </c>
      <c r="D987">
        <v>2.1098206571947564</v>
      </c>
      <c r="E987">
        <v>0.86694894097149555</v>
      </c>
      <c r="F987">
        <v>0.26866061606005159</v>
      </c>
      <c r="G987" s="166">
        <v>36.437751408896702</v>
      </c>
    </row>
    <row r="988" spans="1:7" x14ac:dyDescent="0.25">
      <c r="A988">
        <v>15</v>
      </c>
      <c r="B988">
        <v>5.0000000000000001E-3</v>
      </c>
      <c r="C988">
        <v>0.3</v>
      </c>
      <c r="D988">
        <v>1.9823131259601094</v>
      </c>
      <c r="E988">
        <v>0.81455466812522148</v>
      </c>
      <c r="F988">
        <v>0.25242404553592745</v>
      </c>
      <c r="G988" s="166">
        <v>36.359020896771376</v>
      </c>
    </row>
    <row r="989" spans="1:7" x14ac:dyDescent="0.25">
      <c r="A989">
        <v>14</v>
      </c>
      <c r="B989">
        <v>5.0000000000000001E-3</v>
      </c>
      <c r="C989">
        <v>0.3</v>
      </c>
      <c r="D989">
        <v>1.8548055947254622</v>
      </c>
      <c r="E989">
        <v>0.76216039527894752</v>
      </c>
      <c r="F989">
        <v>0.23618747501180334</v>
      </c>
      <c r="G989" s="166">
        <v>36.269465818165919</v>
      </c>
    </row>
    <row r="990" spans="1:7" x14ac:dyDescent="0.25">
      <c r="A990">
        <v>13</v>
      </c>
      <c r="B990">
        <v>5.0000000000000001E-3</v>
      </c>
      <c r="C990">
        <v>0.3</v>
      </c>
      <c r="D990">
        <v>1.7271678412061706</v>
      </c>
      <c r="E990">
        <v>0.70971261263724206</v>
      </c>
      <c r="F990">
        <v>0.21993432222553383</v>
      </c>
      <c r="G990" s="166">
        <v>36.169311741880932</v>
      </c>
    </row>
    <row r="991" spans="1:7" x14ac:dyDescent="0.25">
      <c r="A991">
        <v>12</v>
      </c>
      <c r="B991">
        <v>5.0000000000000001E-3</v>
      </c>
      <c r="C991">
        <v>0.3</v>
      </c>
      <c r="D991">
        <v>1.5995168276647045</v>
      </c>
      <c r="E991">
        <v>0.65725938130389439</v>
      </c>
      <c r="F991">
        <v>0.20367948093284355</v>
      </c>
      <c r="G991" s="166">
        <v>36.053461105797716</v>
      </c>
    </row>
    <row r="992" spans="1:7" x14ac:dyDescent="0.25">
      <c r="A992">
        <v>11</v>
      </c>
      <c r="B992">
        <v>5.0000000000000001E-3</v>
      </c>
      <c r="C992">
        <v>0.3</v>
      </c>
      <c r="D992">
        <v>1.4718658141232379</v>
      </c>
      <c r="E992">
        <v>0.6048061499705466</v>
      </c>
      <c r="F992">
        <v>0.18742463964015321</v>
      </c>
      <c r="G992" s="166">
        <v>35.917515633658731</v>
      </c>
    </row>
    <row r="993" spans="1:7" x14ac:dyDescent="0.25">
      <c r="A993">
        <v>10</v>
      </c>
      <c r="B993">
        <v>5.0000000000000001E-3</v>
      </c>
      <c r="C993">
        <v>0.3</v>
      </c>
      <c r="D993">
        <v>1.3442148005817711</v>
      </c>
      <c r="E993">
        <v>0.55235291863719871</v>
      </c>
      <c r="F993">
        <v>0.17116979834746285</v>
      </c>
      <c r="G993" s="166">
        <v>35.755750512312801</v>
      </c>
    </row>
    <row r="994" spans="1:7" x14ac:dyDescent="0.25">
      <c r="A994">
        <v>9</v>
      </c>
      <c r="B994">
        <v>5.0000000000000001E-3</v>
      </c>
      <c r="C994">
        <v>0.3</v>
      </c>
      <c r="D994">
        <v>1.2165637870403048</v>
      </c>
      <c r="E994">
        <v>0.49989968730385104</v>
      </c>
      <c r="F994">
        <v>0.15491495705477254</v>
      </c>
      <c r="G994" s="166">
        <v>35.560038166965214</v>
      </c>
    </row>
    <row r="995" spans="1:7" x14ac:dyDescent="0.25">
      <c r="A995">
        <v>8</v>
      </c>
      <c r="B995">
        <v>5.0000000000000001E-3</v>
      </c>
      <c r="C995">
        <v>0.3</v>
      </c>
      <c r="D995">
        <v>1.0889127734988382</v>
      </c>
      <c r="E995">
        <v>0.4474464559705032</v>
      </c>
      <c r="F995">
        <v>0.1386601157620822</v>
      </c>
      <c r="G995" s="166">
        <v>35.318439907053687</v>
      </c>
    </row>
    <row r="996" spans="1:7" x14ac:dyDescent="0.25">
      <c r="A996">
        <v>7</v>
      </c>
      <c r="B996">
        <v>5.0000000000000001E-3</v>
      </c>
      <c r="C996">
        <v>0.3</v>
      </c>
      <c r="D996">
        <v>0.9612505583274904</v>
      </c>
      <c r="E996">
        <v>0.39498862176196337</v>
      </c>
      <c r="F996">
        <v>0.12240384807479548</v>
      </c>
      <c r="G996" s="166">
        <v>35.013068399294838</v>
      </c>
    </row>
    <row r="997" spans="1:7" x14ac:dyDescent="0.25">
      <c r="A997">
        <v>6</v>
      </c>
      <c r="B997">
        <v>5.0000000000000001E-3</v>
      </c>
      <c r="C997">
        <v>0.3</v>
      </c>
      <c r="D997">
        <v>0.83331765678491709</v>
      </c>
      <c r="E997">
        <v>0.3424195594914225</v>
      </c>
      <c r="F997">
        <v>0.10611311169131674</v>
      </c>
      <c r="G997" s="166">
        <v>34.624987269571101</v>
      </c>
    </row>
    <row r="998" spans="1:7" x14ac:dyDescent="0.25">
      <c r="A998">
        <v>5</v>
      </c>
      <c r="B998">
        <v>5.0000000000000001E-3</v>
      </c>
      <c r="C998">
        <v>0.3</v>
      </c>
      <c r="D998">
        <v>0.7053847552423439</v>
      </c>
      <c r="E998">
        <v>0.28985049722088174</v>
      </c>
      <c r="F998">
        <v>8.9822375307837987E-2</v>
      </c>
      <c r="G998" s="166">
        <v>34.096136596444261</v>
      </c>
    </row>
    <row r="999" spans="1:7" x14ac:dyDescent="0.25">
      <c r="A999">
        <v>4</v>
      </c>
      <c r="B999">
        <v>5.0000000000000001E-3</v>
      </c>
      <c r="C999">
        <v>0.3</v>
      </c>
      <c r="D999">
        <v>0.57714988817203416</v>
      </c>
      <c r="E999">
        <v>0.23715735393255946</v>
      </c>
      <c r="F999">
        <v>7.3493187198884882E-2</v>
      </c>
      <c r="G999" s="166">
        <v>33.34976318677657</v>
      </c>
    </row>
    <row r="1000" spans="1:7" x14ac:dyDescent="0.25">
      <c r="A1000">
        <v>3</v>
      </c>
      <c r="B1000">
        <v>5.0000000000000001E-3</v>
      </c>
      <c r="C1000">
        <v>0.3</v>
      </c>
      <c r="D1000">
        <v>0.44849080509491968</v>
      </c>
      <c r="E1000">
        <v>0.18428989553523098</v>
      </c>
      <c r="F1000">
        <v>5.7109980217122838E-2</v>
      </c>
      <c r="G1000" s="166">
        <v>32.20632584830097</v>
      </c>
    </row>
    <row r="1001" spans="1:7" x14ac:dyDescent="0.25">
      <c r="A1001">
        <v>2</v>
      </c>
      <c r="B1001">
        <v>5.0000000000000001E-3</v>
      </c>
      <c r="C1001">
        <v>0.3</v>
      </c>
      <c r="D1001">
        <v>0.31865021858320136</v>
      </c>
      <c r="E1001">
        <v>0.13093694414213955</v>
      </c>
      <c r="F1001">
        <v>4.0576322798004757E-2</v>
      </c>
      <c r="G1001" s="166">
        <v>30.250817916216434</v>
      </c>
    </row>
    <row r="1002" spans="1:7" x14ac:dyDescent="0.25">
      <c r="A1002">
        <v>1</v>
      </c>
      <c r="B1002">
        <v>5.0000000000000001E-3</v>
      </c>
      <c r="C1002">
        <v>0.3</v>
      </c>
      <c r="D1002">
        <v>0.18429518338434506</v>
      </c>
      <c r="E1002">
        <v>7.5728955215389568E-2</v>
      </c>
      <c r="F1002">
        <v>2.3467803927359036E-2</v>
      </c>
      <c r="G1002" s="166">
        <v>26.211574375765004</v>
      </c>
    </row>
    <row r="1003" spans="1:7" x14ac:dyDescent="0.25">
      <c r="A1003">
        <v>50</v>
      </c>
      <c r="B1003">
        <v>0</v>
      </c>
      <c r="C1003">
        <v>0.3</v>
      </c>
      <c r="D1003">
        <v>4.555295809525183</v>
      </c>
      <c r="E1003">
        <v>1.8718220737921227</v>
      </c>
      <c r="F1003">
        <v>0.58006284768773875</v>
      </c>
      <c r="G1003" s="166">
        <v>42.075000384072588</v>
      </c>
    </row>
    <row r="1004" spans="1:7" x14ac:dyDescent="0.25">
      <c r="A1004">
        <v>49</v>
      </c>
      <c r="B1004">
        <v>0</v>
      </c>
      <c r="C1004">
        <v>0.3</v>
      </c>
      <c r="D1004">
        <v>4.5342702401557053</v>
      </c>
      <c r="E1004">
        <v>1.8631824318225407</v>
      </c>
      <c r="F1004">
        <v>0.5773854910126327</v>
      </c>
      <c r="G1004" s="166">
        <v>41.885706465821308</v>
      </c>
    </row>
    <row r="1005" spans="1:7" x14ac:dyDescent="0.25">
      <c r="A1005">
        <v>48</v>
      </c>
      <c r="B1005">
        <v>0</v>
      </c>
      <c r="C1005">
        <v>0.3</v>
      </c>
      <c r="D1005">
        <v>4.512893660536978</v>
      </c>
      <c r="E1005">
        <v>1.854398555809738</v>
      </c>
      <c r="F1005">
        <v>0.57466343734895309</v>
      </c>
      <c r="G1005" s="166">
        <v>41.698221140965295</v>
      </c>
    </row>
    <row r="1006" spans="1:7" x14ac:dyDescent="0.25">
      <c r="A1006">
        <v>47</v>
      </c>
      <c r="B1006">
        <v>0</v>
      </c>
      <c r="C1006">
        <v>0.3</v>
      </c>
      <c r="D1006">
        <v>4.4914041737906718</v>
      </c>
      <c r="E1006">
        <v>1.8455682849934962</v>
      </c>
      <c r="F1006">
        <v>0.57192700630284066</v>
      </c>
      <c r="G1006" s="166">
        <v>41.481346756432529</v>
      </c>
    </row>
    <row r="1007" spans="1:7" x14ac:dyDescent="0.25">
      <c r="A1007">
        <v>46</v>
      </c>
      <c r="B1007">
        <v>0</v>
      </c>
      <c r="C1007">
        <v>0.3</v>
      </c>
      <c r="D1007">
        <v>4.4675650951920831</v>
      </c>
      <c r="E1007">
        <v>1.8357725405664498</v>
      </c>
      <c r="F1007">
        <v>0.56889138262517858</v>
      </c>
      <c r="G1007" s="166">
        <v>41.279614338639121</v>
      </c>
    </row>
    <row r="1008" spans="1:7" x14ac:dyDescent="0.25">
      <c r="A1008">
        <v>45</v>
      </c>
      <c r="B1008">
        <v>0</v>
      </c>
      <c r="C1008">
        <v>0.3</v>
      </c>
      <c r="D1008">
        <v>4.4433079280415431</v>
      </c>
      <c r="E1008">
        <v>1.8258049988702325</v>
      </c>
      <c r="F1008">
        <v>0.56580252033334721</v>
      </c>
      <c r="G1008" s="166">
        <v>41.075801325875815</v>
      </c>
    </row>
    <row r="1009" spans="1:7" x14ac:dyDescent="0.25">
      <c r="A1009">
        <v>44</v>
      </c>
      <c r="B1009">
        <v>0</v>
      </c>
      <c r="C1009">
        <v>0.3</v>
      </c>
      <c r="D1009">
        <v>4.4185414055240049</v>
      </c>
      <c r="E1009">
        <v>1.8156281573482262</v>
      </c>
      <c r="F1009">
        <v>0.56264879768183351</v>
      </c>
      <c r="G1009" s="166">
        <v>40.844059672468788</v>
      </c>
    </row>
    <row r="1010" spans="1:7" x14ac:dyDescent="0.25">
      <c r="A1010">
        <v>43</v>
      </c>
      <c r="B1010">
        <v>0</v>
      </c>
      <c r="C1010">
        <v>0.3</v>
      </c>
      <c r="D1010">
        <v>4.3912615350885131</v>
      </c>
      <c r="E1010">
        <v>1.8044185530137349</v>
      </c>
      <c r="F1010">
        <v>0.55917503000767366</v>
      </c>
      <c r="G1010" s="166">
        <v>40.634501848283861</v>
      </c>
    </row>
    <row r="1011" spans="1:7" x14ac:dyDescent="0.25">
      <c r="A1011">
        <v>42</v>
      </c>
      <c r="B1011">
        <v>0</v>
      </c>
      <c r="C1011">
        <v>0.3</v>
      </c>
      <c r="D1011">
        <v>4.3638742330322948</v>
      </c>
      <c r="E1011">
        <v>1.7931648038229036</v>
      </c>
      <c r="F1011">
        <v>0.55568758219188186</v>
      </c>
      <c r="G1011" s="166">
        <v>40.398814679538106</v>
      </c>
    </row>
    <row r="1012" spans="1:7" x14ac:dyDescent="0.25">
      <c r="A1012">
        <v>41</v>
      </c>
      <c r="B1012">
        <v>0</v>
      </c>
      <c r="C1012">
        <v>0.3</v>
      </c>
      <c r="D1012">
        <v>4.3342494012883357</v>
      </c>
      <c r="E1012">
        <v>1.7809916286199303</v>
      </c>
      <c r="F1012">
        <v>0.55191521153096046</v>
      </c>
      <c r="G1012" s="166">
        <v>40.171878612887689</v>
      </c>
    </row>
    <row r="1013" spans="1:7" x14ac:dyDescent="0.25">
      <c r="A1013">
        <v>40</v>
      </c>
      <c r="B1013">
        <v>0</v>
      </c>
      <c r="C1013">
        <v>0.3</v>
      </c>
      <c r="D1013">
        <v>4.3036441341372571</v>
      </c>
      <c r="E1013">
        <v>1.7684155815259295</v>
      </c>
      <c r="F1013">
        <v>0.54801799405920448</v>
      </c>
      <c r="G1013" s="166">
        <v>39.919360659095368</v>
      </c>
    </row>
    <row r="1014" spans="1:7" x14ac:dyDescent="0.25">
      <c r="A1014">
        <v>39</v>
      </c>
      <c r="B1014">
        <v>0</v>
      </c>
      <c r="C1014">
        <v>0.3</v>
      </c>
      <c r="D1014">
        <v>4.2711388981108405</v>
      </c>
      <c r="E1014">
        <v>1.7550588159387541</v>
      </c>
      <c r="F1014">
        <v>0.54387883810476145</v>
      </c>
      <c r="G1014" s="166">
        <v>39.656295893709782</v>
      </c>
    </row>
    <row r="1015" spans="1:7" x14ac:dyDescent="0.25">
      <c r="A1015">
        <v>38</v>
      </c>
      <c r="B1015">
        <v>0</v>
      </c>
      <c r="C1015">
        <v>0.3</v>
      </c>
      <c r="D1015">
        <v>4.2363128549475091</v>
      </c>
      <c r="E1015">
        <v>1.7407484047027479</v>
      </c>
      <c r="F1015">
        <v>0.53944415491058184</v>
      </c>
      <c r="G1015" s="166">
        <v>39.321632948240861</v>
      </c>
    </row>
    <row r="1016" spans="1:7" x14ac:dyDescent="0.25">
      <c r="A1016">
        <v>37</v>
      </c>
      <c r="B1016">
        <v>0</v>
      </c>
      <c r="C1016">
        <v>0.3</v>
      </c>
      <c r="D1016">
        <v>4.1934109335588508</v>
      </c>
      <c r="E1016">
        <v>1.7231195246428699</v>
      </c>
      <c r="F1016">
        <v>0.53398110448914837</v>
      </c>
      <c r="G1016" s="166">
        <v>38.939456517803258</v>
      </c>
    </row>
    <row r="1017" spans="1:7" x14ac:dyDescent="0.25">
      <c r="A1017">
        <v>36</v>
      </c>
      <c r="B1017">
        <v>0</v>
      </c>
      <c r="C1017">
        <v>0.3</v>
      </c>
      <c r="D1017">
        <v>4.1421662446433221</v>
      </c>
      <c r="E1017">
        <v>1.7020625079555836</v>
      </c>
      <c r="F1017">
        <v>0.52745570165601996</v>
      </c>
      <c r="G1017" s="166">
        <v>38.578621630411703</v>
      </c>
    </row>
    <row r="1018" spans="1:7" x14ac:dyDescent="0.25">
      <c r="A1018">
        <v>35</v>
      </c>
      <c r="B1018">
        <v>0</v>
      </c>
      <c r="C1018">
        <v>0.3</v>
      </c>
      <c r="D1018">
        <v>4.0802223166973262</v>
      </c>
      <c r="E1018">
        <v>1.6766090541042982</v>
      </c>
      <c r="F1018">
        <v>0.51956787773771684</v>
      </c>
      <c r="G1018" s="166">
        <v>38.270853836922967</v>
      </c>
    </row>
    <row r="1019" spans="1:7" x14ac:dyDescent="0.25">
      <c r="A1019">
        <v>34</v>
      </c>
      <c r="B1019">
        <v>0</v>
      </c>
      <c r="C1019">
        <v>0.3</v>
      </c>
      <c r="D1019">
        <v>4.007243914922892</v>
      </c>
      <c r="E1019">
        <v>1.6466214113554303</v>
      </c>
      <c r="F1019">
        <v>0.51027494456212341</v>
      </c>
      <c r="G1019" s="166">
        <v>38.027138682241258</v>
      </c>
    </row>
    <row r="1020" spans="1:7" x14ac:dyDescent="0.25">
      <c r="A1020">
        <v>33</v>
      </c>
      <c r="B1020">
        <v>0</v>
      </c>
      <c r="C1020">
        <v>0.3</v>
      </c>
      <c r="D1020">
        <v>3.9244616231033156</v>
      </c>
      <c r="E1020">
        <v>1.6126052403697888</v>
      </c>
      <c r="F1020">
        <v>0.49973360236639319</v>
      </c>
      <c r="G1020" s="166">
        <v>37.840938515873091</v>
      </c>
    </row>
    <row r="1021" spans="1:7" x14ac:dyDescent="0.25">
      <c r="A1021">
        <v>32</v>
      </c>
      <c r="B1021">
        <v>0</v>
      </c>
      <c r="C1021">
        <v>0.3</v>
      </c>
      <c r="D1021">
        <v>3.8320513437889923</v>
      </c>
      <c r="E1021">
        <v>1.5746328214756848</v>
      </c>
      <c r="F1021">
        <v>0.48796625025226709</v>
      </c>
      <c r="G1021" s="166">
        <v>37.716319984382913</v>
      </c>
    </row>
    <row r="1022" spans="1:7" x14ac:dyDescent="0.25">
      <c r="A1022">
        <v>31</v>
      </c>
      <c r="B1022">
        <v>0</v>
      </c>
      <c r="C1022">
        <v>0.3</v>
      </c>
      <c r="D1022">
        <v>3.7299808762628466</v>
      </c>
      <c r="E1022">
        <v>1.5326909230377794</v>
      </c>
      <c r="F1022">
        <v>0.47496878784066443</v>
      </c>
      <c r="G1022" s="166">
        <v>37.650478161131268</v>
      </c>
    </row>
    <row r="1023" spans="1:7" x14ac:dyDescent="0.25">
      <c r="A1023">
        <v>30</v>
      </c>
      <c r="B1023">
        <v>0</v>
      </c>
      <c r="C1023">
        <v>0.3</v>
      </c>
      <c r="D1023">
        <v>3.6192338048152801</v>
      </c>
      <c r="E1023">
        <v>1.4871837108585124</v>
      </c>
      <c r="F1023">
        <v>0.46086646291532679</v>
      </c>
      <c r="G1023" s="166">
        <v>37.556588382915301</v>
      </c>
    </row>
    <row r="1024" spans="1:7" x14ac:dyDescent="0.25">
      <c r="A1024">
        <v>29</v>
      </c>
      <c r="B1024">
        <v>0</v>
      </c>
      <c r="C1024">
        <v>0.3</v>
      </c>
      <c r="D1024">
        <v>3.5038133209751843</v>
      </c>
      <c r="E1024">
        <v>1.4397561411784268</v>
      </c>
      <c r="F1024">
        <v>0.44616903439755923</v>
      </c>
      <c r="G1024" s="166">
        <v>37.500629482768929</v>
      </c>
    </row>
    <row r="1025" spans="1:7" x14ac:dyDescent="0.25">
      <c r="A1025">
        <v>28</v>
      </c>
      <c r="B1025">
        <v>0</v>
      </c>
      <c r="C1025">
        <v>0.3</v>
      </c>
      <c r="D1025">
        <v>3.385362339145892</v>
      </c>
      <c r="E1025">
        <v>1.3910833059287813</v>
      </c>
      <c r="F1025">
        <v>0.43108570793440476</v>
      </c>
      <c r="G1025" s="166">
        <v>37.47437446131346</v>
      </c>
    </row>
    <row r="1026" spans="1:7" x14ac:dyDescent="0.25">
      <c r="A1026">
        <v>27</v>
      </c>
      <c r="B1026">
        <v>0</v>
      </c>
      <c r="C1026">
        <v>0.3</v>
      </c>
      <c r="D1026">
        <v>3.2669113573165993</v>
      </c>
      <c r="E1026">
        <v>1.3424104706791358</v>
      </c>
      <c r="F1026">
        <v>0.41600238147125024</v>
      </c>
      <c r="G1026" s="166">
        <v>37.446215541815349</v>
      </c>
    </row>
    <row r="1027" spans="1:7" x14ac:dyDescent="0.25">
      <c r="A1027">
        <v>26</v>
      </c>
      <c r="B1027">
        <v>0</v>
      </c>
      <c r="C1027">
        <v>0.3</v>
      </c>
      <c r="D1027">
        <v>3.1484603754873062</v>
      </c>
      <c r="E1027">
        <v>1.2937376354294903</v>
      </c>
      <c r="F1027">
        <v>0.40091905500809566</v>
      </c>
      <c r="G1027" s="166">
        <v>37.415937839633621</v>
      </c>
    </row>
    <row r="1028" spans="1:7" x14ac:dyDescent="0.25">
      <c r="A1028">
        <v>25</v>
      </c>
      <c r="B1028">
        <v>0</v>
      </c>
      <c r="C1028">
        <v>0.3</v>
      </c>
      <c r="D1028">
        <v>3.0300093936580144</v>
      </c>
      <c r="E1028">
        <v>1.245064800179845</v>
      </c>
      <c r="F1028">
        <v>0.38583572854494119</v>
      </c>
      <c r="G1028" s="166">
        <v>37.383292868519661</v>
      </c>
    </row>
    <row r="1029" spans="1:7" x14ac:dyDescent="0.25">
      <c r="A1029">
        <v>24</v>
      </c>
      <c r="B1029">
        <v>0</v>
      </c>
      <c r="C1029">
        <v>0.3</v>
      </c>
      <c r="D1029">
        <v>2.9115584118287221</v>
      </c>
      <c r="E1029">
        <v>1.1963919649301997</v>
      </c>
      <c r="F1029">
        <v>0.37075240208178672</v>
      </c>
      <c r="G1029" s="166">
        <v>37.347991705543279</v>
      </c>
    </row>
    <row r="1030" spans="1:7" x14ac:dyDescent="0.25">
      <c r="A1030">
        <v>23</v>
      </c>
      <c r="B1030">
        <v>0</v>
      </c>
      <c r="C1030">
        <v>0.3</v>
      </c>
      <c r="D1030">
        <v>2.7931074299994294</v>
      </c>
      <c r="E1030">
        <v>1.1477191296805542</v>
      </c>
      <c r="F1030">
        <v>0.3556690756186322</v>
      </c>
      <c r="G1030" s="166">
        <v>37.309696416834868</v>
      </c>
    </row>
    <row r="1031" spans="1:7" x14ac:dyDescent="0.25">
      <c r="A1031">
        <v>22</v>
      </c>
      <c r="B1031">
        <v>0</v>
      </c>
      <c r="C1031">
        <v>0.3</v>
      </c>
      <c r="D1031">
        <v>2.6746564481701363</v>
      </c>
      <c r="E1031">
        <v>1.0990462944309087</v>
      </c>
      <c r="F1031">
        <v>0.34058574915547762</v>
      </c>
      <c r="G1031" s="166">
        <v>37.268009204988033</v>
      </c>
    </row>
    <row r="1032" spans="1:7" x14ac:dyDescent="0.25">
      <c r="A1032">
        <v>21</v>
      </c>
      <c r="B1032">
        <v>0</v>
      </c>
      <c r="C1032">
        <v>0.3</v>
      </c>
      <c r="D1032">
        <v>2.556205466340844</v>
      </c>
      <c r="E1032">
        <v>1.0503734591812632</v>
      </c>
      <c r="F1032">
        <v>0.32550242269232316</v>
      </c>
      <c r="G1032" s="166">
        <v>37.222458539097289</v>
      </c>
    </row>
    <row r="1033" spans="1:7" x14ac:dyDescent="0.25">
      <c r="A1033">
        <v>20</v>
      </c>
      <c r="B1033">
        <v>0</v>
      </c>
      <c r="C1033">
        <v>0.3</v>
      </c>
      <c r="D1033">
        <v>2.4377544845115522</v>
      </c>
      <c r="E1033">
        <v>1.0017006239316182</v>
      </c>
      <c r="F1033">
        <v>0.31041909622916875</v>
      </c>
      <c r="G1033" s="166">
        <v>37.172481241130164</v>
      </c>
    </row>
    <row r="1034" spans="1:7" x14ac:dyDescent="0.25">
      <c r="A1034">
        <v>19</v>
      </c>
      <c r="B1034">
        <v>0</v>
      </c>
      <c r="C1034">
        <v>0.3</v>
      </c>
      <c r="D1034">
        <v>2.3193035026822595</v>
      </c>
      <c r="E1034">
        <v>0.95302778868197269</v>
      </c>
      <c r="F1034">
        <v>0.29533576976601422</v>
      </c>
      <c r="G1034" s="166">
        <v>37.11739908301297</v>
      </c>
    </row>
    <row r="1035" spans="1:7" x14ac:dyDescent="0.25">
      <c r="A1035">
        <v>18</v>
      </c>
      <c r="B1035">
        <v>0</v>
      </c>
      <c r="C1035">
        <v>0.3</v>
      </c>
      <c r="D1035">
        <v>2.2008525208529668</v>
      </c>
      <c r="E1035">
        <v>0.90435495343232719</v>
      </c>
      <c r="F1035">
        <v>0.2802524433028597</v>
      </c>
      <c r="G1035" s="166">
        <v>37.056387826377417</v>
      </c>
    </row>
    <row r="1036" spans="1:7" x14ac:dyDescent="0.25">
      <c r="A1036">
        <v>17</v>
      </c>
      <c r="B1036">
        <v>0</v>
      </c>
      <c r="C1036">
        <v>0.3</v>
      </c>
      <c r="D1036">
        <v>2.082401539023675</v>
      </c>
      <c r="E1036">
        <v>0.85568211818268203</v>
      </c>
      <c r="F1036">
        <v>0.26516911683970523</v>
      </c>
      <c r="G1036" s="166">
        <v>36.988435695836714</v>
      </c>
    </row>
    <row r="1037" spans="1:7" x14ac:dyDescent="0.25">
      <c r="A1037">
        <v>16</v>
      </c>
      <c r="B1037">
        <v>0</v>
      </c>
      <c r="C1037">
        <v>0.3</v>
      </c>
      <c r="D1037">
        <v>1.9639505571943827</v>
      </c>
      <c r="E1037">
        <v>0.80700928293303664</v>
      </c>
      <c r="F1037">
        <v>0.25008579037655077</v>
      </c>
      <c r="G1037" s="166">
        <v>36.912286824751341</v>
      </c>
    </row>
    <row r="1038" spans="1:7" x14ac:dyDescent="0.25">
      <c r="A1038">
        <v>15</v>
      </c>
      <c r="B1038">
        <v>0</v>
      </c>
      <c r="C1038">
        <v>0.3</v>
      </c>
      <c r="D1038">
        <v>1.84549957536509</v>
      </c>
      <c r="E1038">
        <v>0.75833644768339115</v>
      </c>
      <c r="F1038">
        <v>0.23500246391339624</v>
      </c>
      <c r="G1038" s="166">
        <v>36.826362921836477</v>
      </c>
    </row>
    <row r="1039" spans="1:7" x14ac:dyDescent="0.25">
      <c r="A1039">
        <v>14</v>
      </c>
      <c r="B1039">
        <v>0</v>
      </c>
      <c r="C1039">
        <v>0.3</v>
      </c>
      <c r="D1039">
        <v>1.7270485935357978</v>
      </c>
      <c r="E1039">
        <v>0.70966361243374587</v>
      </c>
      <c r="F1039">
        <v>0.21991913745024175</v>
      </c>
      <c r="G1039" s="166">
        <v>36.728652702426579</v>
      </c>
    </row>
    <row r="1040" spans="1:7" x14ac:dyDescent="0.25">
      <c r="A1040">
        <v>13</v>
      </c>
      <c r="B1040">
        <v>0</v>
      </c>
      <c r="C1040">
        <v>0.3</v>
      </c>
      <c r="D1040">
        <v>1.6084678468710849</v>
      </c>
      <c r="E1040">
        <v>0.6609374553596794</v>
      </c>
      <c r="F1040">
        <v>0.20481928697567042</v>
      </c>
      <c r="G1040" s="166">
        <v>36.619506547470365</v>
      </c>
    </row>
    <row r="1041" spans="1:7" x14ac:dyDescent="0.25">
      <c r="A1041">
        <v>12</v>
      </c>
      <c r="B1041">
        <v>0</v>
      </c>
      <c r="C1041">
        <v>0.3</v>
      </c>
      <c r="D1041">
        <v>1.4898738867644497</v>
      </c>
      <c r="E1041">
        <v>0.61220586873431793</v>
      </c>
      <c r="F1041">
        <v>0.18971775392612047</v>
      </c>
      <c r="G1041" s="166">
        <v>36.493310065100815</v>
      </c>
    </row>
    <row r="1042" spans="1:7" x14ac:dyDescent="0.25">
      <c r="A1042">
        <v>11</v>
      </c>
      <c r="B1042">
        <v>0</v>
      </c>
      <c r="C1042">
        <v>0.3</v>
      </c>
      <c r="D1042">
        <v>1.371279926657814</v>
      </c>
      <c r="E1042">
        <v>0.56347428210895634</v>
      </c>
      <c r="F1042">
        <v>0.17461622087657044</v>
      </c>
      <c r="G1042" s="166">
        <v>36.345285595163148</v>
      </c>
    </row>
    <row r="1043" spans="1:7" x14ac:dyDescent="0.25">
      <c r="A1043">
        <v>10</v>
      </c>
      <c r="B1043">
        <v>0</v>
      </c>
      <c r="C1043">
        <v>0.3</v>
      </c>
      <c r="D1043">
        <v>1.2526859665511783</v>
      </c>
      <c r="E1043">
        <v>0.51474269548359475</v>
      </c>
      <c r="F1043">
        <v>0.15951468782702047</v>
      </c>
      <c r="G1043" s="166">
        <v>36.169233656967144</v>
      </c>
    </row>
    <row r="1044" spans="1:7" x14ac:dyDescent="0.25">
      <c r="A1044">
        <v>9</v>
      </c>
      <c r="B1044">
        <v>0</v>
      </c>
      <c r="C1044">
        <v>0.3</v>
      </c>
      <c r="D1044">
        <v>1.1340920064445428</v>
      </c>
      <c r="E1044">
        <v>0.46601110885823321</v>
      </c>
      <c r="F1044">
        <v>0.14441315477747049</v>
      </c>
      <c r="G1044" s="166">
        <v>35.956361608204325</v>
      </c>
    </row>
    <row r="1045" spans="1:7" x14ac:dyDescent="0.25">
      <c r="A1045">
        <v>8</v>
      </c>
      <c r="B1045">
        <v>0</v>
      </c>
      <c r="C1045">
        <v>0.3</v>
      </c>
      <c r="D1045">
        <v>1.0154980463379069</v>
      </c>
      <c r="E1045">
        <v>0.41727952223287151</v>
      </c>
      <c r="F1045">
        <v>0.12931162172792043</v>
      </c>
      <c r="G1045" s="166">
        <v>35.693769445552896</v>
      </c>
    </row>
    <row r="1046" spans="1:7" x14ac:dyDescent="0.25">
      <c r="A1046">
        <v>7</v>
      </c>
      <c r="B1046">
        <v>0</v>
      </c>
      <c r="C1046">
        <v>0.3</v>
      </c>
      <c r="D1046">
        <v>0.89688525480820747</v>
      </c>
      <c r="E1046">
        <v>0.36854019756483491</v>
      </c>
      <c r="F1046">
        <v>0.11420769072018176</v>
      </c>
      <c r="G1046" s="166">
        <v>35.362476778456539</v>
      </c>
    </row>
    <row r="1047" spans="1:7" x14ac:dyDescent="0.25">
      <c r="A1047">
        <v>6</v>
      </c>
      <c r="B1047">
        <v>0</v>
      </c>
      <c r="C1047">
        <v>0.3</v>
      </c>
      <c r="D1047">
        <v>0.77801168094642703</v>
      </c>
      <c r="E1047">
        <v>0.31969371451542078</v>
      </c>
      <c r="F1047">
        <v>9.9070552178070148E-2</v>
      </c>
      <c r="G1047" s="166">
        <v>34.941910924429834</v>
      </c>
    </row>
    <row r="1048" spans="1:7" x14ac:dyDescent="0.25">
      <c r="A1048">
        <v>5</v>
      </c>
      <c r="B1048">
        <v>0</v>
      </c>
      <c r="C1048">
        <v>0.3</v>
      </c>
      <c r="D1048">
        <v>0.65913810708464615</v>
      </c>
      <c r="E1048">
        <v>0.27084723146600653</v>
      </c>
      <c r="F1048">
        <v>8.3933413635958493E-2</v>
      </c>
      <c r="G1048" s="166">
        <v>34.369649498337054</v>
      </c>
    </row>
    <row r="1049" spans="1:7" x14ac:dyDescent="0.25">
      <c r="A1049">
        <v>4</v>
      </c>
      <c r="B1049">
        <v>0</v>
      </c>
      <c r="C1049">
        <v>0.3</v>
      </c>
      <c r="D1049">
        <v>0.53995120768221028</v>
      </c>
      <c r="E1049">
        <v>0.22187199944225458</v>
      </c>
      <c r="F1049">
        <v>6.8756376805576377E-2</v>
      </c>
      <c r="G1049" s="166">
        <v>33.565026453027102</v>
      </c>
    </row>
    <row r="1050" spans="1:7" x14ac:dyDescent="0.25">
      <c r="A1050">
        <v>3</v>
      </c>
      <c r="B1050">
        <v>0</v>
      </c>
      <c r="C1050">
        <v>0.3</v>
      </c>
      <c r="D1050">
        <v>0.42033949469915799</v>
      </c>
      <c r="E1050">
        <v>0.17272220675972355</v>
      </c>
      <c r="F1050">
        <v>5.3525245008453903E-2</v>
      </c>
      <c r="G1050" s="166">
        <v>32.33721217804284</v>
      </c>
    </row>
    <row r="1051" spans="1:7" x14ac:dyDescent="0.25">
      <c r="A1051">
        <v>2</v>
      </c>
      <c r="B1051">
        <v>0</v>
      </c>
      <c r="C1051">
        <v>0.3</v>
      </c>
      <c r="D1051">
        <v>0.29948510727403366</v>
      </c>
      <c r="E1051">
        <v>0.12306178522926044</v>
      </c>
      <c r="F1051">
        <v>3.8135873372304986E-2</v>
      </c>
      <c r="G1051" s="166">
        <v>30.257725891882238</v>
      </c>
    </row>
    <row r="1052" spans="1:7" x14ac:dyDescent="0.25">
      <c r="A1052">
        <v>1</v>
      </c>
      <c r="B1052">
        <v>0</v>
      </c>
      <c r="C1052">
        <v>0.3</v>
      </c>
      <c r="D1052">
        <v>0.17391672101675199</v>
      </c>
      <c r="E1052">
        <v>7.1464328775310698E-2</v>
      </c>
      <c r="F1052">
        <v>2.2146229942420922E-2</v>
      </c>
      <c r="G1052" s="166">
        <v>26.051946677760267</v>
      </c>
    </row>
    <row r="1053" spans="1:7" x14ac:dyDescent="0.25">
      <c r="A1053">
        <v>50</v>
      </c>
      <c r="B1053">
        <v>0.10000000000000002</v>
      </c>
      <c r="C1053">
        <v>0.17</v>
      </c>
      <c r="D1053">
        <v>2.8621829891808699</v>
      </c>
      <c r="E1053">
        <v>1.1761030506906875</v>
      </c>
      <c r="F1053">
        <v>0.3644650281187149</v>
      </c>
      <c r="G1053" s="166">
        <v>71.32535748842993</v>
      </c>
    </row>
    <row r="1054" spans="1:7" x14ac:dyDescent="0.25">
      <c r="A1054">
        <v>49</v>
      </c>
      <c r="B1054">
        <v>0.10000000000000002</v>
      </c>
      <c r="C1054">
        <v>0.17</v>
      </c>
      <c r="D1054">
        <v>2.8557072101729175</v>
      </c>
      <c r="E1054">
        <v>1.1734420805585748</v>
      </c>
      <c r="F1054">
        <v>0.36364041453281015</v>
      </c>
      <c r="G1054" s="166">
        <v>71.113514002422136</v>
      </c>
    </row>
    <row r="1055" spans="1:7" x14ac:dyDescent="0.25">
      <c r="A1055">
        <v>48</v>
      </c>
      <c r="B1055">
        <v>0.10000000000000002</v>
      </c>
      <c r="C1055">
        <v>0.17</v>
      </c>
      <c r="D1055">
        <v>2.8479344462634995</v>
      </c>
      <c r="E1055">
        <v>1.1702481648024123</v>
      </c>
      <c r="F1055">
        <v>0.36265064531556773</v>
      </c>
      <c r="G1055" s="166">
        <v>70.875541465239507</v>
      </c>
    </row>
    <row r="1056" spans="1:7" x14ac:dyDescent="0.25">
      <c r="A1056">
        <v>47</v>
      </c>
      <c r="B1056">
        <v>0.10000000000000002</v>
      </c>
      <c r="C1056">
        <v>0.17</v>
      </c>
      <c r="D1056">
        <v>2.8398322182609834</v>
      </c>
      <c r="E1056">
        <v>1.1669188685599392</v>
      </c>
      <c r="F1056">
        <v>0.36161892275697394</v>
      </c>
      <c r="G1056" s="166">
        <v>70.629824708080065</v>
      </c>
    </row>
    <row r="1057" spans="1:7" x14ac:dyDescent="0.25">
      <c r="A1057">
        <v>46</v>
      </c>
      <c r="B1057">
        <v>0.10000000000000002</v>
      </c>
      <c r="C1057">
        <v>0.17</v>
      </c>
      <c r="D1057">
        <v>2.8317299902584669</v>
      </c>
      <c r="E1057">
        <v>1.1635895723174656</v>
      </c>
      <c r="F1057">
        <v>0.36058720019838014</v>
      </c>
      <c r="G1057" s="166">
        <v>70.382701847091994</v>
      </c>
    </row>
    <row r="1058" spans="1:7" x14ac:dyDescent="0.25">
      <c r="A1058">
        <v>45</v>
      </c>
      <c r="B1058">
        <v>0.10000000000000002</v>
      </c>
      <c r="C1058">
        <v>0.17</v>
      </c>
      <c r="D1058">
        <v>2.8236277622559509</v>
      </c>
      <c r="E1058">
        <v>1.1602602760749925</v>
      </c>
      <c r="F1058">
        <v>0.35955547763978635</v>
      </c>
      <c r="G1058" s="166">
        <v>70.134160778087136</v>
      </c>
    </row>
    <row r="1059" spans="1:7" x14ac:dyDescent="0.25">
      <c r="A1059">
        <v>44</v>
      </c>
      <c r="B1059">
        <v>0.10000000000000002</v>
      </c>
      <c r="C1059">
        <v>0.17</v>
      </c>
      <c r="D1059">
        <v>2.8155255342534349</v>
      </c>
      <c r="E1059">
        <v>1.1569309798325194</v>
      </c>
      <c r="F1059">
        <v>0.35852375508119261</v>
      </c>
      <c r="G1059" s="166">
        <v>69.884189257548783</v>
      </c>
    </row>
    <row r="1060" spans="1:7" x14ac:dyDescent="0.25">
      <c r="A1060">
        <v>43</v>
      </c>
      <c r="B1060">
        <v>0.10000000000000002</v>
      </c>
      <c r="C1060">
        <v>0.17</v>
      </c>
      <c r="D1060">
        <v>2.8074233062509188</v>
      </c>
      <c r="E1060">
        <v>1.153601683590046</v>
      </c>
      <c r="F1060">
        <v>0.35749203252259881</v>
      </c>
      <c r="G1060" s="166">
        <v>69.632774900620873</v>
      </c>
    </row>
    <row r="1061" spans="1:7" x14ac:dyDescent="0.25">
      <c r="A1061">
        <v>42</v>
      </c>
      <c r="B1061">
        <v>0.10000000000000002</v>
      </c>
      <c r="C1061">
        <v>0.17</v>
      </c>
      <c r="D1061">
        <v>2.7979127961830432</v>
      </c>
      <c r="E1061">
        <v>1.1496937084721959</v>
      </c>
      <c r="F1061">
        <v>0.35628098195999885</v>
      </c>
      <c r="G1061" s="166">
        <v>69.355479790069921</v>
      </c>
    </row>
    <row r="1062" spans="1:7" x14ac:dyDescent="0.25">
      <c r="A1062">
        <v>41</v>
      </c>
      <c r="B1062">
        <v>0.10000000000000002</v>
      </c>
      <c r="C1062">
        <v>0.17</v>
      </c>
      <c r="D1062">
        <v>2.7879551190518344</v>
      </c>
      <c r="E1062">
        <v>1.1456019873991281</v>
      </c>
      <c r="F1062">
        <v>0.35501298997998165</v>
      </c>
      <c r="G1062" s="166">
        <v>69.068461007954582</v>
      </c>
    </row>
    <row r="1063" spans="1:7" x14ac:dyDescent="0.25">
      <c r="A1063">
        <v>40</v>
      </c>
      <c r="B1063">
        <v>0.10000000000000002</v>
      </c>
      <c r="C1063">
        <v>0.17</v>
      </c>
      <c r="D1063">
        <v>2.7779974419206259</v>
      </c>
      <c r="E1063">
        <v>1.1415102663260603</v>
      </c>
      <c r="F1063">
        <v>0.35374499799996439</v>
      </c>
      <c r="G1063" s="166">
        <v>68.77938459949317</v>
      </c>
    </row>
    <row r="1064" spans="1:7" x14ac:dyDescent="0.25">
      <c r="A1064">
        <v>39</v>
      </c>
      <c r="B1064">
        <v>0.10000000000000002</v>
      </c>
      <c r="C1064">
        <v>0.17</v>
      </c>
      <c r="D1064">
        <v>2.7680397647894175</v>
      </c>
      <c r="E1064">
        <v>1.1374185452529926</v>
      </c>
      <c r="F1064">
        <v>0.35247700601994719</v>
      </c>
      <c r="G1064" s="166">
        <v>68.488228358524779</v>
      </c>
    </row>
    <row r="1065" spans="1:7" x14ac:dyDescent="0.25">
      <c r="A1065">
        <v>38</v>
      </c>
      <c r="B1065">
        <v>0.10000000000000002</v>
      </c>
      <c r="C1065">
        <v>0.17</v>
      </c>
      <c r="D1065">
        <v>2.7580820876582086</v>
      </c>
      <c r="E1065">
        <v>1.133326824179925</v>
      </c>
      <c r="F1065">
        <v>0.35120901403992999</v>
      </c>
      <c r="G1065" s="166">
        <v>68.194969758199292</v>
      </c>
    </row>
    <row r="1066" spans="1:7" x14ac:dyDescent="0.25">
      <c r="A1066">
        <v>37</v>
      </c>
      <c r="B1066">
        <v>0.10000000000000002</v>
      </c>
      <c r="C1066">
        <v>0.17</v>
      </c>
      <c r="D1066">
        <v>2.7465162050602814</v>
      </c>
      <c r="E1066">
        <v>1.1285742734664412</v>
      </c>
      <c r="F1066">
        <v>0.34973623618393496</v>
      </c>
      <c r="G1066" s="166">
        <v>67.874820926356094</v>
      </c>
    </row>
    <row r="1067" spans="1:7" x14ac:dyDescent="0.25">
      <c r="A1067">
        <v>36</v>
      </c>
      <c r="B1067">
        <v>0.10000000000000002</v>
      </c>
      <c r="C1067">
        <v>0.17</v>
      </c>
      <c r="D1067">
        <v>2.7344585894088707</v>
      </c>
      <c r="E1067">
        <v>1.1236196641331859</v>
      </c>
      <c r="F1067">
        <v>0.34820084196069778</v>
      </c>
      <c r="G1067" s="166">
        <v>67.544296147865012</v>
      </c>
    </row>
    <row r="1068" spans="1:7" x14ac:dyDescent="0.25">
      <c r="A1068">
        <v>35</v>
      </c>
      <c r="B1068">
        <v>0.10000000000000002</v>
      </c>
      <c r="C1068">
        <v>0.17</v>
      </c>
      <c r="D1068">
        <v>2.7224009737574604</v>
      </c>
      <c r="E1068">
        <v>1.1186650547999308</v>
      </c>
      <c r="F1068">
        <v>0.34666544773746061</v>
      </c>
      <c r="G1068" s="166">
        <v>67.210843556181999</v>
      </c>
    </row>
    <row r="1069" spans="1:7" x14ac:dyDescent="0.25">
      <c r="A1069">
        <v>34</v>
      </c>
      <c r="B1069">
        <v>0.10000000000000002</v>
      </c>
      <c r="C1069">
        <v>0.17</v>
      </c>
      <c r="D1069">
        <v>2.7103433581060496</v>
      </c>
      <c r="E1069">
        <v>1.1137104454666755</v>
      </c>
      <c r="F1069">
        <v>0.34513005351422343</v>
      </c>
      <c r="G1069" s="166">
        <v>66.87442407605927</v>
      </c>
    </row>
    <row r="1070" spans="1:7" x14ac:dyDescent="0.25">
      <c r="A1070">
        <v>33</v>
      </c>
      <c r="B1070">
        <v>0.10000000000000002</v>
      </c>
      <c r="C1070">
        <v>0.17</v>
      </c>
      <c r="D1070">
        <v>2.6969223666902002</v>
      </c>
      <c r="E1070">
        <v>1.1081956097601049</v>
      </c>
      <c r="F1070">
        <v>0.34342104957134184</v>
      </c>
      <c r="G1070" s="166">
        <v>66.516571503617286</v>
      </c>
    </row>
    <row r="1071" spans="1:7" x14ac:dyDescent="0.25">
      <c r="A1071">
        <v>32</v>
      </c>
      <c r="B1071">
        <v>0.10000000000000002</v>
      </c>
      <c r="C1071">
        <v>0.17</v>
      </c>
      <c r="D1071">
        <v>2.6825038600247488</v>
      </c>
      <c r="E1071">
        <v>1.1022708838639126</v>
      </c>
      <c r="F1071">
        <v>0.34158502390243189</v>
      </c>
      <c r="G1071" s="166">
        <v>66.141444041381092</v>
      </c>
    </row>
    <row r="1072" spans="1:7" x14ac:dyDescent="0.25">
      <c r="A1072">
        <v>31</v>
      </c>
      <c r="B1072">
        <v>0.10000000000000002</v>
      </c>
      <c r="C1072">
        <v>0.17</v>
      </c>
      <c r="D1072">
        <v>2.6680853533592979</v>
      </c>
      <c r="E1072">
        <v>1.0963461579677203</v>
      </c>
      <c r="F1072">
        <v>0.33974899823352195</v>
      </c>
      <c r="G1072" s="166">
        <v>65.76226215276921</v>
      </c>
    </row>
    <row r="1073" spans="1:7" x14ac:dyDescent="0.25">
      <c r="A1073">
        <v>30</v>
      </c>
      <c r="B1073">
        <v>0.10000000000000002</v>
      </c>
      <c r="C1073">
        <v>0.17</v>
      </c>
      <c r="D1073">
        <v>2.6536095060213203</v>
      </c>
      <c r="E1073">
        <v>1.0903978701468915</v>
      </c>
      <c r="F1073">
        <v>0.3379056709106284</v>
      </c>
      <c r="G1073" s="166">
        <v>65.378292727227972</v>
      </c>
    </row>
    <row r="1074" spans="1:7" x14ac:dyDescent="0.25">
      <c r="A1074">
        <v>29</v>
      </c>
      <c r="B1074">
        <v>0.10000000000000002</v>
      </c>
      <c r="C1074">
        <v>0.17</v>
      </c>
      <c r="D1074">
        <v>2.6365516583500872</v>
      </c>
      <c r="E1074">
        <v>1.0833886094671277</v>
      </c>
      <c r="F1074">
        <v>0.33573355649493902</v>
      </c>
      <c r="G1074" s="166">
        <v>64.959500545130012</v>
      </c>
    </row>
    <row r="1075" spans="1:7" x14ac:dyDescent="0.25">
      <c r="A1075">
        <v>28</v>
      </c>
      <c r="B1075">
        <v>0.10000000000000002</v>
      </c>
      <c r="C1075">
        <v>0.17</v>
      </c>
      <c r="D1075">
        <v>2.6194938106788541</v>
      </c>
      <c r="E1075">
        <v>1.0763793487873636</v>
      </c>
      <c r="F1075">
        <v>0.33356144207924959</v>
      </c>
      <c r="G1075" s="166">
        <v>64.535254108306191</v>
      </c>
    </row>
    <row r="1076" spans="1:7" x14ac:dyDescent="0.25">
      <c r="A1076">
        <v>27</v>
      </c>
      <c r="B1076">
        <v>0.10000000000000002</v>
      </c>
      <c r="C1076">
        <v>0.17</v>
      </c>
      <c r="D1076">
        <v>2.6024359630076206</v>
      </c>
      <c r="E1076">
        <v>1.0693700881075998</v>
      </c>
      <c r="F1076">
        <v>0.33138932766356016</v>
      </c>
      <c r="G1076" s="166">
        <v>64.105446165879712</v>
      </c>
    </row>
    <row r="1077" spans="1:7" x14ac:dyDescent="0.25">
      <c r="A1077">
        <v>26</v>
      </c>
      <c r="B1077">
        <v>0.10000000000000002</v>
      </c>
      <c r="C1077">
        <v>0.17</v>
      </c>
      <c r="D1077">
        <v>2.5825240045830462</v>
      </c>
      <c r="E1077">
        <v>1.061188041349272</v>
      </c>
      <c r="F1077">
        <v>0.32885377612316469</v>
      </c>
      <c r="G1077" s="166">
        <v>63.640921987884404</v>
      </c>
    </row>
    <row r="1078" spans="1:7" x14ac:dyDescent="0.25">
      <c r="A1078">
        <v>25</v>
      </c>
      <c r="B1078">
        <v>0.10000000000000002</v>
      </c>
      <c r="C1078">
        <v>0.17</v>
      </c>
      <c r="D1078">
        <v>2.5625297697120146</v>
      </c>
      <c r="E1078">
        <v>1.0529721862774843</v>
      </c>
      <c r="F1078">
        <v>0.3263077476539758</v>
      </c>
      <c r="G1078" s="166">
        <v>63.168319044195904</v>
      </c>
    </row>
    <row r="1079" spans="1:7" x14ac:dyDescent="0.25">
      <c r="A1079">
        <v>24</v>
      </c>
      <c r="B1079">
        <v>0.10000000000000002</v>
      </c>
      <c r="C1079">
        <v>0.17</v>
      </c>
      <c r="D1079">
        <v>2.5413942708340445</v>
      </c>
      <c r="E1079">
        <v>1.044287373041499</v>
      </c>
      <c r="F1079">
        <v>0.32361639276088178</v>
      </c>
      <c r="G1079" s="166">
        <v>62.679992311432642</v>
      </c>
    </row>
    <row r="1080" spans="1:7" x14ac:dyDescent="0.25">
      <c r="A1080">
        <v>23</v>
      </c>
      <c r="B1080">
        <v>0.10000000000000002</v>
      </c>
      <c r="C1080">
        <v>0.17</v>
      </c>
      <c r="D1080">
        <v>2.51804087422832</v>
      </c>
      <c r="E1080">
        <v>1.0346912007856353</v>
      </c>
      <c r="F1080">
        <v>0.32064261491972118</v>
      </c>
      <c r="G1080" s="166">
        <v>62.165313908521718</v>
      </c>
    </row>
    <row r="1081" spans="1:7" x14ac:dyDescent="0.25">
      <c r="A1081">
        <v>22</v>
      </c>
      <c r="B1081">
        <v>0.10000000000000002</v>
      </c>
      <c r="C1081">
        <v>0.17</v>
      </c>
      <c r="D1081">
        <v>2.4945671183669216</v>
      </c>
      <c r="E1081">
        <v>1.0250455715634239</v>
      </c>
      <c r="F1081">
        <v>0.31765351075607545</v>
      </c>
      <c r="G1081" s="166">
        <v>61.640182804891708</v>
      </c>
    </row>
    <row r="1082" spans="1:7" x14ac:dyDescent="0.25">
      <c r="A1082">
        <v>21</v>
      </c>
      <c r="B1082">
        <v>0.10000000000000002</v>
      </c>
      <c r="C1082">
        <v>0.17</v>
      </c>
      <c r="D1082">
        <v>2.467621036209533</v>
      </c>
      <c r="E1082">
        <v>1.0139731245712991</v>
      </c>
      <c r="F1082">
        <v>0.31422224705689722</v>
      </c>
      <c r="G1082" s="166">
        <v>61.080503907218883</v>
      </c>
    </row>
    <row r="1083" spans="1:7" x14ac:dyDescent="0.25">
      <c r="A1083">
        <v>20</v>
      </c>
      <c r="B1083">
        <v>0.10000000000000002</v>
      </c>
      <c r="C1083">
        <v>0.17</v>
      </c>
      <c r="D1083">
        <v>2.4406161746452706</v>
      </c>
      <c r="E1083">
        <v>1.0028765244624787</v>
      </c>
      <c r="F1083">
        <v>0.31078349849799475</v>
      </c>
      <c r="G1083" s="166">
        <v>60.508155706781828</v>
      </c>
    </row>
    <row r="1084" spans="1:7" x14ac:dyDescent="0.25">
      <c r="A1084">
        <v>19</v>
      </c>
      <c r="B1084">
        <v>0.10000000000000002</v>
      </c>
      <c r="C1084">
        <v>0.17</v>
      </c>
      <c r="D1084">
        <v>2.4097171714119439</v>
      </c>
      <c r="E1084">
        <v>0.9901797779220286</v>
      </c>
      <c r="F1084">
        <v>0.30684887722295962</v>
      </c>
      <c r="G1084" s="166">
        <v>59.901177835689325</v>
      </c>
    </row>
    <row r="1085" spans="1:7" x14ac:dyDescent="0.25">
      <c r="A1085">
        <v>18</v>
      </c>
      <c r="B1085">
        <v>0.10000000000000002</v>
      </c>
      <c r="C1085">
        <v>0.17</v>
      </c>
      <c r="D1085">
        <v>2.3778096829095774</v>
      </c>
      <c r="E1085">
        <v>0.97706863348809048</v>
      </c>
      <c r="F1085">
        <v>0.30278583732014025</v>
      </c>
      <c r="G1085" s="166">
        <v>59.27446834343823</v>
      </c>
    </row>
    <row r="1086" spans="1:7" x14ac:dyDescent="0.25">
      <c r="A1086">
        <v>17</v>
      </c>
      <c r="B1086">
        <v>0.10000000000000002</v>
      </c>
      <c r="C1086">
        <v>0.17</v>
      </c>
      <c r="D1086">
        <v>2.3425737988781585</v>
      </c>
      <c r="E1086">
        <v>0.96258981404859845</v>
      </c>
      <c r="F1086">
        <v>0.29829896575642723</v>
      </c>
      <c r="G1086" s="166">
        <v>58.616513219545581</v>
      </c>
    </row>
    <row r="1087" spans="1:7" x14ac:dyDescent="0.25">
      <c r="A1087">
        <v>16</v>
      </c>
      <c r="B1087">
        <v>0.10000000000000002</v>
      </c>
      <c r="C1087">
        <v>0.17</v>
      </c>
      <c r="D1087">
        <v>2.3042500267649753</v>
      </c>
      <c r="E1087">
        <v>0.94684214680766188</v>
      </c>
      <c r="F1087">
        <v>0.29341888830028806</v>
      </c>
      <c r="G1087" s="166">
        <v>57.930160391956569</v>
      </c>
    </row>
    <row r="1088" spans="1:7" x14ac:dyDescent="0.25">
      <c r="A1088">
        <v>15</v>
      </c>
      <c r="B1088">
        <v>0.10000000000000002</v>
      </c>
      <c r="C1088">
        <v>0.17</v>
      </c>
      <c r="D1088">
        <v>2.2610928974588029</v>
      </c>
      <c r="E1088">
        <v>0.92910839895579311</v>
      </c>
      <c r="F1088">
        <v>0.2879233401800057</v>
      </c>
      <c r="G1088" s="166">
        <v>57.02084024508973</v>
      </c>
    </row>
    <row r="1089" spans="1:7" x14ac:dyDescent="0.25">
      <c r="A1089">
        <v>14</v>
      </c>
      <c r="B1089">
        <v>0.10000000000000002</v>
      </c>
      <c r="C1089">
        <v>0.17</v>
      </c>
      <c r="D1089">
        <v>2.2125545933498834</v>
      </c>
      <c r="E1089">
        <v>0.9091634661008221</v>
      </c>
      <c r="F1089">
        <v>0.28174256332584829</v>
      </c>
      <c r="G1089" s="166">
        <v>55.971657132210062</v>
      </c>
    </row>
    <row r="1090" spans="1:7" x14ac:dyDescent="0.25">
      <c r="A1090">
        <v>13</v>
      </c>
      <c r="B1090">
        <v>0.10000000000000002</v>
      </c>
      <c r="C1090">
        <v>0.17</v>
      </c>
      <c r="D1090">
        <v>2.157814412887447</v>
      </c>
      <c r="E1090">
        <v>0.88667011278253716</v>
      </c>
      <c r="F1090">
        <v>0.27477205113746611</v>
      </c>
      <c r="G1090" s="166">
        <v>54.903852343206466</v>
      </c>
    </row>
    <row r="1091" spans="1:7" x14ac:dyDescent="0.25">
      <c r="A1091">
        <v>12</v>
      </c>
      <c r="B1091">
        <v>0.10000000000000002</v>
      </c>
      <c r="C1091">
        <v>0.17</v>
      </c>
      <c r="D1091">
        <v>2.0952262469517318</v>
      </c>
      <c r="E1091">
        <v>0.86095193432491313</v>
      </c>
      <c r="F1091">
        <v>0.26680219115860171</v>
      </c>
      <c r="G1091" s="166">
        <v>53.826852989275778</v>
      </c>
    </row>
    <row r="1092" spans="1:7" x14ac:dyDescent="0.25">
      <c r="A1092">
        <v>11</v>
      </c>
      <c r="B1092">
        <v>0.10000000000000002</v>
      </c>
      <c r="C1092">
        <v>0.17</v>
      </c>
      <c r="D1092">
        <v>2.0232944629471703</v>
      </c>
      <c r="E1092">
        <v>0.83139435854126276</v>
      </c>
      <c r="F1092">
        <v>0.25764253233212153</v>
      </c>
      <c r="G1092" s="166">
        <v>52.752939997428861</v>
      </c>
    </row>
    <row r="1093" spans="1:7" x14ac:dyDescent="0.25">
      <c r="A1093">
        <v>10</v>
      </c>
      <c r="B1093">
        <v>0.10000000000000002</v>
      </c>
      <c r="C1093">
        <v>0.17</v>
      </c>
      <c r="D1093">
        <v>1.9405283776323006</v>
      </c>
      <c r="E1093">
        <v>0.79738484698994083</v>
      </c>
      <c r="F1093">
        <v>0.24710325384238638</v>
      </c>
      <c r="G1093" s="166">
        <v>51.696893516251116</v>
      </c>
    </row>
    <row r="1094" spans="1:7" x14ac:dyDescent="0.25">
      <c r="A1094">
        <v>9</v>
      </c>
      <c r="B1094">
        <v>0.10000000000000002</v>
      </c>
      <c r="C1094">
        <v>0.17</v>
      </c>
      <c r="D1094">
        <v>1.8439796243235083</v>
      </c>
      <c r="E1094">
        <v>0.75771188277483636</v>
      </c>
      <c r="F1094">
        <v>0.2348089161908351</v>
      </c>
      <c r="G1094" s="166">
        <v>50.694434401297755</v>
      </c>
    </row>
    <row r="1095" spans="1:7" x14ac:dyDescent="0.25">
      <c r="A1095">
        <v>8</v>
      </c>
      <c r="B1095">
        <v>0.10000000000000002</v>
      </c>
      <c r="C1095">
        <v>0.17</v>
      </c>
      <c r="D1095">
        <v>1.7293177860243656</v>
      </c>
      <c r="E1095">
        <v>0.71059604904541507</v>
      </c>
      <c r="F1095">
        <v>0.22020809217720327</v>
      </c>
      <c r="G1095" s="166">
        <v>49.817575232869729</v>
      </c>
    </row>
    <row r="1096" spans="1:7" x14ac:dyDescent="0.25">
      <c r="A1096">
        <v>7</v>
      </c>
      <c r="B1096">
        <v>0.10000000000000002</v>
      </c>
      <c r="C1096">
        <v>0.17</v>
      </c>
      <c r="D1096">
        <v>1.5914393287764712</v>
      </c>
      <c r="E1096">
        <v>0.65394024653148053</v>
      </c>
      <c r="F1096">
        <v>0.20265090733340665</v>
      </c>
      <c r="G1096" s="166">
        <v>49.188005464027235</v>
      </c>
    </row>
    <row r="1097" spans="1:7" x14ac:dyDescent="0.25">
      <c r="A1097">
        <v>6</v>
      </c>
      <c r="B1097">
        <v>0.10000000000000002</v>
      </c>
      <c r="C1097">
        <v>0.17</v>
      </c>
      <c r="D1097">
        <v>1.4213669690074573</v>
      </c>
      <c r="E1097">
        <v>0.58405560885506635</v>
      </c>
      <c r="F1097">
        <v>0.18099421116138117</v>
      </c>
      <c r="G1097" s="166">
        <v>49.092428704904975</v>
      </c>
    </row>
    <row r="1098" spans="1:7" x14ac:dyDescent="0.25">
      <c r="A1098">
        <v>5</v>
      </c>
      <c r="B1098">
        <v>0.10000000000000002</v>
      </c>
      <c r="C1098">
        <v>0.17</v>
      </c>
      <c r="D1098">
        <v>1.2075406386459977</v>
      </c>
      <c r="E1098">
        <v>0.4961919745567997</v>
      </c>
      <c r="F1098">
        <v>0.153765966216073</v>
      </c>
      <c r="G1098" s="166">
        <v>49.699962348438667</v>
      </c>
    </row>
    <row r="1099" spans="1:7" x14ac:dyDescent="0.25">
      <c r="A1099">
        <v>4</v>
      </c>
      <c r="B1099">
        <v>0.10000000000000002</v>
      </c>
      <c r="C1099">
        <v>0.17</v>
      </c>
      <c r="D1099">
        <v>0.98136209231567539</v>
      </c>
      <c r="E1099">
        <v>0.40325267635490292</v>
      </c>
      <c r="F1099">
        <v>0.12496481319415428</v>
      </c>
      <c r="G1099" s="166">
        <v>49.119067168549314</v>
      </c>
    </row>
    <row r="1100" spans="1:7" x14ac:dyDescent="0.25">
      <c r="A1100">
        <v>3</v>
      </c>
      <c r="B1100">
        <v>0.10000000000000002</v>
      </c>
      <c r="C1100">
        <v>0.17</v>
      </c>
      <c r="D1100">
        <v>0.75432257138991476</v>
      </c>
      <c r="E1100">
        <v>0.30995959404762585</v>
      </c>
      <c r="F1100">
        <v>9.6054025277708524E-2</v>
      </c>
      <c r="G1100" s="166">
        <v>48.216328779255434</v>
      </c>
    </row>
    <row r="1101" spans="1:7" x14ac:dyDescent="0.25">
      <c r="A1101">
        <v>2</v>
      </c>
      <c r="B1101">
        <v>0.10000000000000002</v>
      </c>
      <c r="C1101">
        <v>0.17</v>
      </c>
      <c r="D1101">
        <v>0.52550992355953041</v>
      </c>
      <c r="E1101">
        <v>0.21593791403374771</v>
      </c>
      <c r="F1101">
        <v>6.6917450697868225E-2</v>
      </c>
      <c r="G1101" s="166">
        <v>46.615143918615367</v>
      </c>
    </row>
    <row r="1102" spans="1:7" x14ac:dyDescent="0.25">
      <c r="A1102">
        <v>1</v>
      </c>
      <c r="B1102">
        <v>0.10000000000000002</v>
      </c>
      <c r="C1102">
        <v>0.17</v>
      </c>
      <c r="D1102">
        <v>0.29092118148332796</v>
      </c>
      <c r="E1102">
        <v>0.11954277219396175</v>
      </c>
      <c r="F1102">
        <v>3.7045359080970522E-2</v>
      </c>
      <c r="G1102" s="166">
        <v>43.020445502043046</v>
      </c>
    </row>
    <row r="1103" spans="1:7" x14ac:dyDescent="0.25">
      <c r="A1103">
        <v>50</v>
      </c>
      <c r="B1103">
        <v>9.5000000000000015E-2</v>
      </c>
      <c r="C1103">
        <v>0.17</v>
      </c>
      <c r="D1103">
        <v>2.8584937677869675</v>
      </c>
      <c r="E1103">
        <v>1.1745871082955146</v>
      </c>
      <c r="F1103">
        <v>0.36399524956711726</v>
      </c>
      <c r="G1103" s="166">
        <v>71.221136371951971</v>
      </c>
    </row>
    <row r="1104" spans="1:7" x14ac:dyDescent="0.25">
      <c r="A1104">
        <v>49</v>
      </c>
      <c r="B1104">
        <v>9.5000000000000015E-2</v>
      </c>
      <c r="C1104">
        <v>0.17</v>
      </c>
      <c r="D1104">
        <v>2.8509281772282886</v>
      </c>
      <c r="E1104">
        <v>1.1714783223898011</v>
      </c>
      <c r="F1104">
        <v>0.36303186141683946</v>
      </c>
      <c r="G1104" s="166">
        <v>70.988361854125301</v>
      </c>
    </row>
    <row r="1105" spans="1:7" x14ac:dyDescent="0.25">
      <c r="A1105">
        <v>48</v>
      </c>
      <c r="B1105">
        <v>9.5000000000000015E-2</v>
      </c>
      <c r="C1105">
        <v>0.17</v>
      </c>
      <c r="D1105">
        <v>2.8429290403047771</v>
      </c>
      <c r="E1105">
        <v>1.1681913874264547</v>
      </c>
      <c r="F1105">
        <v>0.3620132662834139</v>
      </c>
      <c r="G1105" s="166">
        <v>70.745899146251745</v>
      </c>
    </row>
    <row r="1106" spans="1:7" x14ac:dyDescent="0.25">
      <c r="A1106">
        <v>47</v>
      </c>
      <c r="B1106">
        <v>9.5000000000000015E-2</v>
      </c>
      <c r="C1106">
        <v>0.17</v>
      </c>
      <c r="D1106">
        <v>2.834929903381266</v>
      </c>
      <c r="E1106">
        <v>1.164904452463108</v>
      </c>
      <c r="F1106">
        <v>0.36099467114998834</v>
      </c>
      <c r="G1106" s="166">
        <v>70.502068155940719</v>
      </c>
    </row>
    <row r="1107" spans="1:7" x14ac:dyDescent="0.25">
      <c r="A1107">
        <v>46</v>
      </c>
      <c r="B1107">
        <v>9.5000000000000015E-2</v>
      </c>
      <c r="C1107">
        <v>0.17</v>
      </c>
      <c r="D1107">
        <v>2.8269307664577545</v>
      </c>
      <c r="E1107">
        <v>1.1616175174997616</v>
      </c>
      <c r="F1107">
        <v>0.35997607601656278</v>
      </c>
      <c r="G1107" s="166">
        <v>70.256857268038402</v>
      </c>
    </row>
    <row r="1108" spans="1:7" x14ac:dyDescent="0.25">
      <c r="A1108">
        <v>45</v>
      </c>
      <c r="B1108">
        <v>9.5000000000000015E-2</v>
      </c>
      <c r="C1108">
        <v>0.17</v>
      </c>
      <c r="D1108">
        <v>2.818931629534243</v>
      </c>
      <c r="E1108">
        <v>1.158330582536415</v>
      </c>
      <c r="F1108">
        <v>0.35895748088313728</v>
      </c>
      <c r="G1108" s="166">
        <v>70.010254735552067</v>
      </c>
    </row>
    <row r="1109" spans="1:7" x14ac:dyDescent="0.25">
      <c r="A1109">
        <v>44</v>
      </c>
      <c r="B1109">
        <v>9.5000000000000015E-2</v>
      </c>
      <c r="C1109">
        <v>0.17</v>
      </c>
      <c r="D1109">
        <v>2.8109324926107324</v>
      </c>
      <c r="E1109">
        <v>1.1550436475730688</v>
      </c>
      <c r="F1109">
        <v>0.35793888574971178</v>
      </c>
      <c r="G1109" s="166">
        <v>69.762248677774252</v>
      </c>
    </row>
    <row r="1110" spans="1:7" x14ac:dyDescent="0.25">
      <c r="A1110">
        <v>43</v>
      </c>
      <c r="B1110">
        <v>9.5000000000000015E-2</v>
      </c>
      <c r="C1110">
        <v>0.17</v>
      </c>
      <c r="D1110">
        <v>2.80171368755415</v>
      </c>
      <c r="E1110">
        <v>1.1512555373118614</v>
      </c>
      <c r="F1110">
        <v>0.35676498035761461</v>
      </c>
      <c r="G1110" s="166">
        <v>69.491759591861893</v>
      </c>
    </row>
    <row r="1111" spans="1:7" x14ac:dyDescent="0.25">
      <c r="A1111">
        <v>42</v>
      </c>
      <c r="B1111">
        <v>9.5000000000000015E-2</v>
      </c>
      <c r="C1111">
        <v>0.17</v>
      </c>
      <c r="D1111">
        <v>2.7918974722539844</v>
      </c>
      <c r="E1111">
        <v>1.1472219444897387</v>
      </c>
      <c r="F1111">
        <v>0.35551500186255758</v>
      </c>
      <c r="G1111" s="166">
        <v>69.209066389873556</v>
      </c>
    </row>
    <row r="1112" spans="1:7" x14ac:dyDescent="0.25">
      <c r="A1112">
        <v>41</v>
      </c>
      <c r="B1112">
        <v>9.5000000000000015E-2</v>
      </c>
      <c r="C1112">
        <v>0.17</v>
      </c>
      <c r="D1112">
        <v>2.7820812569538185</v>
      </c>
      <c r="E1112">
        <v>1.143188351667616</v>
      </c>
      <c r="F1112">
        <v>0.35426502336750043</v>
      </c>
      <c r="G1112" s="166">
        <v>68.924378294797435</v>
      </c>
    </row>
    <row r="1113" spans="1:7" x14ac:dyDescent="0.25">
      <c r="A1113">
        <v>40</v>
      </c>
      <c r="B1113">
        <v>9.5000000000000015E-2</v>
      </c>
      <c r="C1113">
        <v>0.17</v>
      </c>
      <c r="D1113">
        <v>2.7722650416536525</v>
      </c>
      <c r="E1113">
        <v>1.1391547588454933</v>
      </c>
      <c r="F1113">
        <v>0.35301504487244334</v>
      </c>
      <c r="G1113" s="166">
        <v>68.637674115694239</v>
      </c>
    </row>
    <row r="1114" spans="1:7" x14ac:dyDescent="0.25">
      <c r="A1114">
        <v>39</v>
      </c>
      <c r="B1114">
        <v>9.5000000000000015E-2</v>
      </c>
      <c r="C1114">
        <v>0.17</v>
      </c>
      <c r="D1114">
        <v>2.762448826353487</v>
      </c>
      <c r="E1114">
        <v>1.1351211660233709</v>
      </c>
      <c r="F1114">
        <v>0.3517650663773863</v>
      </c>
      <c r="G1114" s="166">
        <v>68.348932360421131</v>
      </c>
    </row>
    <row r="1115" spans="1:7" x14ac:dyDescent="0.25">
      <c r="A1115">
        <v>38</v>
      </c>
      <c r="B1115">
        <v>9.5000000000000015E-2</v>
      </c>
      <c r="C1115">
        <v>0.17</v>
      </c>
      <c r="D1115">
        <v>2.7512820942578364</v>
      </c>
      <c r="E1115">
        <v>1.130532630722314</v>
      </c>
      <c r="F1115">
        <v>0.35034311559973874</v>
      </c>
      <c r="G1115" s="166">
        <v>68.037448251407255</v>
      </c>
    </row>
    <row r="1116" spans="1:7" x14ac:dyDescent="0.25">
      <c r="A1116">
        <v>37</v>
      </c>
      <c r="B1116">
        <v>9.5000000000000015E-2</v>
      </c>
      <c r="C1116">
        <v>0.17</v>
      </c>
      <c r="D1116">
        <v>2.7394138981602136</v>
      </c>
      <c r="E1116">
        <v>1.125655856005473</v>
      </c>
      <c r="F1116">
        <v>0.34883184170817089</v>
      </c>
      <c r="G1116" s="166">
        <v>67.712550300997052</v>
      </c>
    </row>
    <row r="1117" spans="1:7" x14ac:dyDescent="0.25">
      <c r="A1117">
        <v>36</v>
      </c>
      <c r="B1117">
        <v>9.5000000000000015E-2</v>
      </c>
      <c r="C1117">
        <v>0.17</v>
      </c>
      <c r="D1117">
        <v>2.7275457020625904</v>
      </c>
      <c r="E1117">
        <v>1.120779081288632</v>
      </c>
      <c r="F1117">
        <v>0.34732056781660303</v>
      </c>
      <c r="G1117" s="166">
        <v>67.384824935021101</v>
      </c>
    </row>
    <row r="1118" spans="1:7" x14ac:dyDescent="0.25">
      <c r="A1118">
        <v>35</v>
      </c>
      <c r="B1118">
        <v>9.5000000000000015E-2</v>
      </c>
      <c r="C1118">
        <v>0.17</v>
      </c>
      <c r="D1118">
        <v>2.7156775059649672</v>
      </c>
      <c r="E1118">
        <v>1.115902306571791</v>
      </c>
      <c r="F1118">
        <v>0.34580929392503523</v>
      </c>
      <c r="G1118" s="166">
        <v>67.054235083920489</v>
      </c>
    </row>
    <row r="1119" spans="1:7" x14ac:dyDescent="0.25">
      <c r="A1119">
        <v>34</v>
      </c>
      <c r="B1119">
        <v>9.5000000000000015E-2</v>
      </c>
      <c r="C1119">
        <v>0.17</v>
      </c>
      <c r="D1119">
        <v>2.7027754864474653</v>
      </c>
      <c r="E1119">
        <v>1.1106007222314593</v>
      </c>
      <c r="F1119">
        <v>0.34416637489295049</v>
      </c>
      <c r="G1119" s="166">
        <v>66.706871902298005</v>
      </c>
    </row>
    <row r="1120" spans="1:7" x14ac:dyDescent="0.25">
      <c r="A1120">
        <v>33</v>
      </c>
      <c r="B1120">
        <v>9.5000000000000015E-2</v>
      </c>
      <c r="C1120">
        <v>0.17</v>
      </c>
      <c r="D1120">
        <v>2.6886054647355029</v>
      </c>
      <c r="E1120">
        <v>1.1047781015860332</v>
      </c>
      <c r="F1120">
        <v>0.34236199083322577</v>
      </c>
      <c r="G1120" s="166">
        <v>66.338901678389945</v>
      </c>
    </row>
    <row r="1121" spans="1:7" x14ac:dyDescent="0.25">
      <c r="A1121">
        <v>32</v>
      </c>
      <c r="B1121">
        <v>9.5000000000000015E-2</v>
      </c>
      <c r="C1121">
        <v>0.17</v>
      </c>
      <c r="D1121">
        <v>2.6744354430235409</v>
      </c>
      <c r="E1121">
        <v>1.098955480940607</v>
      </c>
      <c r="F1121">
        <v>0.34055760677350105</v>
      </c>
      <c r="G1121" s="166">
        <v>65.967032204585422</v>
      </c>
    </row>
    <row r="1122" spans="1:7" x14ac:dyDescent="0.25">
      <c r="A1122">
        <v>31</v>
      </c>
      <c r="B1122">
        <v>9.5000000000000015E-2</v>
      </c>
      <c r="C1122">
        <v>0.17</v>
      </c>
      <c r="D1122">
        <v>2.6602654213115784</v>
      </c>
      <c r="E1122">
        <v>1.0931328602951809</v>
      </c>
      <c r="F1122">
        <v>0.33875322271377634</v>
      </c>
      <c r="G1122" s="166">
        <v>65.591201172302107</v>
      </c>
    </row>
    <row r="1123" spans="1:7" x14ac:dyDescent="0.25">
      <c r="A1123">
        <v>30</v>
      </c>
      <c r="B1123">
        <v>9.5000000000000015E-2</v>
      </c>
      <c r="C1123">
        <v>0.17</v>
      </c>
      <c r="D1123">
        <v>2.6438559550170861</v>
      </c>
      <c r="E1123">
        <v>1.0863900267858944</v>
      </c>
      <c r="F1123">
        <v>0.3366636719698014</v>
      </c>
      <c r="G1123" s="166">
        <v>65.185056250029177</v>
      </c>
    </row>
    <row r="1124" spans="1:7" x14ac:dyDescent="0.25">
      <c r="A1124">
        <v>29</v>
      </c>
      <c r="B1124">
        <v>9.5000000000000015E-2</v>
      </c>
      <c r="C1124">
        <v>0.17</v>
      </c>
      <c r="D1124">
        <v>2.6271184393055265</v>
      </c>
      <c r="E1124">
        <v>1.0795123940965246</v>
      </c>
      <c r="F1124">
        <v>0.33453234802667475</v>
      </c>
      <c r="G1124" s="166">
        <v>64.769908132904462</v>
      </c>
    </row>
    <row r="1125" spans="1:7" x14ac:dyDescent="0.25">
      <c r="A1125">
        <v>28</v>
      </c>
      <c r="B1125">
        <v>9.5000000000000015E-2</v>
      </c>
      <c r="C1125">
        <v>0.17</v>
      </c>
      <c r="D1125">
        <v>2.6103809235939663</v>
      </c>
      <c r="E1125">
        <v>1.0726347614071545</v>
      </c>
      <c r="F1125">
        <v>0.3324010240835481</v>
      </c>
      <c r="G1125" s="166">
        <v>64.34943623481719</v>
      </c>
    </row>
    <row r="1126" spans="1:7" x14ac:dyDescent="0.25">
      <c r="A1126">
        <v>27</v>
      </c>
      <c r="B1126">
        <v>9.5000000000000015E-2</v>
      </c>
      <c r="C1126">
        <v>0.17</v>
      </c>
      <c r="D1126">
        <v>2.5913604092357234</v>
      </c>
      <c r="E1126">
        <v>1.0648190190010978</v>
      </c>
      <c r="F1126">
        <v>0.32997898736310999</v>
      </c>
      <c r="G1126" s="166">
        <v>63.900607339446253</v>
      </c>
    </row>
    <row r="1127" spans="1:7" x14ac:dyDescent="0.25">
      <c r="A1127">
        <v>26</v>
      </c>
      <c r="B1127">
        <v>9.5000000000000015E-2</v>
      </c>
      <c r="C1127">
        <v>0.17</v>
      </c>
      <c r="D1127">
        <v>2.5717729750680647</v>
      </c>
      <c r="E1127">
        <v>1.0567703228950602</v>
      </c>
      <c r="F1127">
        <v>0.32748476013456634</v>
      </c>
      <c r="G1127" s="166">
        <v>63.439298045550913</v>
      </c>
    </row>
    <row r="1128" spans="1:7" x14ac:dyDescent="0.25">
      <c r="A1128">
        <v>25</v>
      </c>
      <c r="B1128">
        <v>9.5000000000000015E-2</v>
      </c>
      <c r="C1128">
        <v>0.17</v>
      </c>
      <c r="D1128">
        <v>2.5517423012408038</v>
      </c>
      <c r="E1128">
        <v>1.0485394946479907</v>
      </c>
      <c r="F1128">
        <v>0.32493409159685038</v>
      </c>
      <c r="G1128" s="166">
        <v>62.967243598493987</v>
      </c>
    </row>
    <row r="1129" spans="1:7" x14ac:dyDescent="0.25">
      <c r="A1129">
        <v>24</v>
      </c>
      <c r="B1129">
        <v>9.5000000000000015E-2</v>
      </c>
      <c r="C1129">
        <v>0.17</v>
      </c>
      <c r="D1129">
        <v>2.5289480173967611</v>
      </c>
      <c r="E1129">
        <v>1.0391730680887439</v>
      </c>
      <c r="F1129">
        <v>0.32203151012893988</v>
      </c>
      <c r="G1129" s="166">
        <v>62.465465853308686</v>
      </c>
    </row>
    <row r="1130" spans="1:7" x14ac:dyDescent="0.25">
      <c r="A1130">
        <v>23</v>
      </c>
      <c r="B1130">
        <v>9.5000000000000015E-2</v>
      </c>
      <c r="C1130">
        <v>0.17</v>
      </c>
      <c r="D1130">
        <v>2.506105920571684</v>
      </c>
      <c r="E1130">
        <v>1.029786994640018</v>
      </c>
      <c r="F1130">
        <v>0.31912284024545884</v>
      </c>
      <c r="G1130" s="166">
        <v>61.955266659520355</v>
      </c>
    </row>
    <row r="1131" spans="1:7" x14ac:dyDescent="0.25">
      <c r="A1131">
        <v>22</v>
      </c>
      <c r="B1131">
        <v>9.5000000000000015E-2</v>
      </c>
      <c r="C1131">
        <v>0.17</v>
      </c>
      <c r="D1131">
        <v>2.4804210081996985</v>
      </c>
      <c r="E1131">
        <v>1.0192327764395737</v>
      </c>
      <c r="F1131">
        <v>0.31585217154773121</v>
      </c>
      <c r="G1131" s="166">
        <v>61.416047702850307</v>
      </c>
    </row>
    <row r="1132" spans="1:7" x14ac:dyDescent="0.25">
      <c r="A1132">
        <v>21</v>
      </c>
      <c r="B1132">
        <v>9.5000000000000015E-2</v>
      </c>
      <c r="C1132">
        <v>0.17</v>
      </c>
      <c r="D1132">
        <v>2.4541083813848337</v>
      </c>
      <c r="E1132">
        <v>1.0084206233432742</v>
      </c>
      <c r="F1132">
        <v>0.31250157086698949</v>
      </c>
      <c r="G1132" s="166">
        <v>60.861017027603424</v>
      </c>
    </row>
    <row r="1133" spans="1:7" x14ac:dyDescent="0.25">
      <c r="A1133">
        <v>20</v>
      </c>
      <c r="B1133">
        <v>9.5000000000000015E-2</v>
      </c>
      <c r="C1133">
        <v>0.17</v>
      </c>
      <c r="D1133">
        <v>2.4248280690209669</v>
      </c>
      <c r="E1133">
        <v>0.99638901501267774</v>
      </c>
      <c r="F1133">
        <v>0.30877307065950427</v>
      </c>
      <c r="G1133" s="166">
        <v>60.277882626096577</v>
      </c>
    </row>
    <row r="1134" spans="1:7" x14ac:dyDescent="0.25">
      <c r="A1134">
        <v>19</v>
      </c>
      <c r="B1134">
        <v>9.5000000000000015E-2</v>
      </c>
      <c r="C1134">
        <v>0.17</v>
      </c>
      <c r="D1134">
        <v>2.3947059788560097</v>
      </c>
      <c r="E1134">
        <v>0.9840115107545292</v>
      </c>
      <c r="F1134">
        <v>0.3049373800413766</v>
      </c>
      <c r="G1134" s="166">
        <v>59.67566114447051</v>
      </c>
    </row>
    <row r="1135" spans="1:7" x14ac:dyDescent="0.25">
      <c r="A1135">
        <v>18</v>
      </c>
      <c r="B1135">
        <v>9.5000000000000015E-2</v>
      </c>
      <c r="C1135">
        <v>0.17</v>
      </c>
      <c r="D1135">
        <v>2.3605169816320504</v>
      </c>
      <c r="E1135">
        <v>0.96996286883081295</v>
      </c>
      <c r="F1135">
        <v>0.3005838170855199</v>
      </c>
      <c r="G1135" s="166">
        <v>59.04161707628154</v>
      </c>
    </row>
    <row r="1136" spans="1:7" x14ac:dyDescent="0.25">
      <c r="A1136">
        <v>17</v>
      </c>
      <c r="B1136">
        <v>9.5000000000000015E-2</v>
      </c>
      <c r="C1136">
        <v>0.17</v>
      </c>
      <c r="D1136">
        <v>2.3245302474997951</v>
      </c>
      <c r="E1136">
        <v>0.95517551667432044</v>
      </c>
      <c r="F1136">
        <v>0.29600133367443421</v>
      </c>
      <c r="G1136" s="166">
        <v>58.384295554465794</v>
      </c>
    </row>
    <row r="1137" spans="1:7" x14ac:dyDescent="0.25">
      <c r="A1137">
        <v>16</v>
      </c>
      <c r="B1137">
        <v>9.5000000000000015E-2</v>
      </c>
      <c r="C1137">
        <v>0.17</v>
      </c>
      <c r="D1137">
        <v>2.2839191663484386</v>
      </c>
      <c r="E1137">
        <v>0.9384879685285511</v>
      </c>
      <c r="F1137">
        <v>0.29082999456379383</v>
      </c>
      <c r="G1137" s="166">
        <v>57.591335060018039</v>
      </c>
    </row>
    <row r="1138" spans="1:7" x14ac:dyDescent="0.25">
      <c r="A1138">
        <v>15</v>
      </c>
      <c r="B1138">
        <v>9.5000000000000015E-2</v>
      </c>
      <c r="C1138">
        <v>0.17</v>
      </c>
      <c r="D1138">
        <v>2.2382173838483879</v>
      </c>
      <c r="E1138">
        <v>0.91970859417565742</v>
      </c>
      <c r="F1138">
        <v>0.28501041506558594</v>
      </c>
      <c r="G1138" s="166">
        <v>56.588184251416408</v>
      </c>
    </row>
    <row r="1139" spans="1:7" x14ac:dyDescent="0.25">
      <c r="A1139">
        <v>14</v>
      </c>
      <c r="B1139">
        <v>9.5000000000000015E-2</v>
      </c>
      <c r="C1139">
        <v>0.17</v>
      </c>
      <c r="D1139">
        <v>2.1867002795233454</v>
      </c>
      <c r="E1139">
        <v>0.89853963894516997</v>
      </c>
      <c r="F1139">
        <v>0.27845032336376402</v>
      </c>
      <c r="G1139" s="166">
        <v>55.569426826199091</v>
      </c>
    </row>
    <row r="1140" spans="1:7" x14ac:dyDescent="0.25">
      <c r="A1140">
        <v>13</v>
      </c>
      <c r="B1140">
        <v>9.5000000000000015E-2</v>
      </c>
      <c r="C1140">
        <v>0.17</v>
      </c>
      <c r="D1140">
        <v>2.1286489482832023</v>
      </c>
      <c r="E1140">
        <v>0.87468569668282437</v>
      </c>
      <c r="F1140">
        <v>0.27105817542886806</v>
      </c>
      <c r="G1140" s="166">
        <v>54.538733273066249</v>
      </c>
    </row>
    <row r="1141" spans="1:7" x14ac:dyDescent="0.25">
      <c r="A1141">
        <v>12</v>
      </c>
      <c r="B1141">
        <v>9.5000000000000015E-2</v>
      </c>
      <c r="C1141">
        <v>0.17</v>
      </c>
      <c r="D1141">
        <v>2.062129523636183</v>
      </c>
      <c r="E1141">
        <v>0.84735211998515192</v>
      </c>
      <c r="F1141">
        <v>0.26258771631913974</v>
      </c>
      <c r="G1141" s="166">
        <v>53.510421351035994</v>
      </c>
    </row>
    <row r="1142" spans="1:7" x14ac:dyDescent="0.25">
      <c r="A1142">
        <v>11</v>
      </c>
      <c r="B1142">
        <v>9.5000000000000015E-2</v>
      </c>
      <c r="C1142">
        <v>0.17</v>
      </c>
      <c r="D1142">
        <v>1.9857664165700544</v>
      </c>
      <c r="E1142">
        <v>0.81597366391851289</v>
      </c>
      <c r="F1142">
        <v>0.25286378110280533</v>
      </c>
      <c r="G1142" s="166">
        <v>52.499160057348007</v>
      </c>
    </row>
    <row r="1143" spans="1:7" x14ac:dyDescent="0.25">
      <c r="A1143">
        <v>10</v>
      </c>
      <c r="B1143">
        <v>9.5000000000000015E-2</v>
      </c>
      <c r="C1143">
        <v>0.17</v>
      </c>
      <c r="D1143">
        <v>1.8970705059945785</v>
      </c>
      <c r="E1143">
        <v>0.77952752074530518</v>
      </c>
      <c r="F1143">
        <v>0.24156940975614405</v>
      </c>
      <c r="G1143" s="166">
        <v>51.535756457637788</v>
      </c>
    </row>
    <row r="1144" spans="1:7" x14ac:dyDescent="0.25">
      <c r="A1144">
        <v>9</v>
      </c>
      <c r="B1144">
        <v>9.5000000000000015E-2</v>
      </c>
      <c r="C1144">
        <v>0.17</v>
      </c>
      <c r="D1144">
        <v>1.7934425248050092</v>
      </c>
      <c r="E1144">
        <v>0.73694562249677653</v>
      </c>
      <c r="F1144">
        <v>0.22837361646797588</v>
      </c>
      <c r="G1144" s="166">
        <v>50.664840356241818</v>
      </c>
    </row>
    <row r="1145" spans="1:7" x14ac:dyDescent="0.25">
      <c r="A1145">
        <v>8</v>
      </c>
      <c r="B1145">
        <v>9.5000000000000015E-2</v>
      </c>
      <c r="C1145">
        <v>0.17</v>
      </c>
      <c r="D1145">
        <v>1.6707238050613487</v>
      </c>
      <c r="E1145">
        <v>0.68651912593350795</v>
      </c>
      <c r="F1145">
        <v>0.21274684424162485</v>
      </c>
      <c r="G1145" s="166">
        <v>49.97527062623174</v>
      </c>
    </row>
    <row r="1146" spans="1:7" x14ac:dyDescent="0.25">
      <c r="A1146">
        <v>7</v>
      </c>
      <c r="B1146">
        <v>9.5000000000000015E-2</v>
      </c>
      <c r="C1146">
        <v>0.17</v>
      </c>
      <c r="D1146">
        <v>1.5213020682025806</v>
      </c>
      <c r="E1146">
        <v>0.62512006052665492</v>
      </c>
      <c r="F1146">
        <v>0.19371975976392564</v>
      </c>
      <c r="G1146" s="166">
        <v>49.674540115877711</v>
      </c>
    </row>
    <row r="1147" spans="1:7" x14ac:dyDescent="0.25">
      <c r="A1147">
        <v>6</v>
      </c>
      <c r="B1147">
        <v>9.5000000000000015E-2</v>
      </c>
      <c r="C1147">
        <v>0.17</v>
      </c>
      <c r="D1147">
        <v>1.3359410378302972</v>
      </c>
      <c r="E1147">
        <v>0.54895313684495062</v>
      </c>
      <c r="F1147">
        <v>0.17011623287479316</v>
      </c>
      <c r="G1147" s="166">
        <v>50.162641707164106</v>
      </c>
    </row>
    <row r="1148" spans="1:7" x14ac:dyDescent="0.25">
      <c r="A1148">
        <v>5</v>
      </c>
      <c r="B1148">
        <v>9.5000000000000015E-2</v>
      </c>
      <c r="C1148">
        <v>0.17</v>
      </c>
      <c r="D1148">
        <v>1.1260170074045439</v>
      </c>
      <c r="E1148">
        <v>0.46269300130146063</v>
      </c>
      <c r="F1148">
        <v>0.1433848995040318</v>
      </c>
      <c r="G1148" s="166">
        <v>49.961185781541353</v>
      </c>
    </row>
    <row r="1149" spans="1:7" x14ac:dyDescent="0.25">
      <c r="A1149">
        <v>4</v>
      </c>
      <c r="B1149">
        <v>9.5000000000000015E-2</v>
      </c>
      <c r="C1149">
        <v>0.17</v>
      </c>
      <c r="D1149">
        <v>0.91567064567390655</v>
      </c>
      <c r="E1149">
        <v>0.37625932509409488</v>
      </c>
      <c r="F1149">
        <v>0.11659978725487868</v>
      </c>
      <c r="G1149" s="166">
        <v>49.336936003476964</v>
      </c>
    </row>
    <row r="1150" spans="1:7" x14ac:dyDescent="0.25">
      <c r="A1150">
        <v>3</v>
      </c>
      <c r="B1150">
        <v>9.5000000000000015E-2</v>
      </c>
      <c r="C1150">
        <v>0.17</v>
      </c>
      <c r="D1150">
        <v>0.70451713321882159</v>
      </c>
      <c r="E1150">
        <v>0.28949398161284123</v>
      </c>
      <c r="F1150">
        <v>8.9711893942252777E-2</v>
      </c>
      <c r="G1150" s="166">
        <v>48.368746808818699</v>
      </c>
    </row>
    <row r="1151" spans="1:7" x14ac:dyDescent="0.25">
      <c r="A1151">
        <v>2</v>
      </c>
      <c r="B1151">
        <v>9.5000000000000015E-2</v>
      </c>
      <c r="C1151">
        <v>0.17</v>
      </c>
      <c r="D1151">
        <v>0.49161567288323471</v>
      </c>
      <c r="E1151">
        <v>0.20201038676803831</v>
      </c>
      <c r="F1151">
        <v>6.2601420216066544E-2</v>
      </c>
      <c r="G1151" s="166">
        <v>46.661498170159213</v>
      </c>
    </row>
    <row r="1152" spans="1:7" x14ac:dyDescent="0.25">
      <c r="A1152">
        <v>1</v>
      </c>
      <c r="B1152">
        <v>9.5000000000000015E-2</v>
      </c>
      <c r="C1152">
        <v>0.17</v>
      </c>
      <c r="D1152">
        <v>0.27311921382591442</v>
      </c>
      <c r="E1152">
        <v>0.11222774427669605</v>
      </c>
      <c r="F1152">
        <v>3.4778489818120019E-2</v>
      </c>
      <c r="G1152" s="166">
        <v>42.865101895785642</v>
      </c>
    </row>
    <row r="1153" spans="1:7" x14ac:dyDescent="0.25">
      <c r="A1153">
        <v>50</v>
      </c>
      <c r="B1153">
        <v>9.0000000000000011E-2</v>
      </c>
      <c r="C1153">
        <v>0.17</v>
      </c>
      <c r="D1153">
        <v>2.8538019382172441</v>
      </c>
      <c r="E1153">
        <v>1.1726591829702888</v>
      </c>
      <c r="F1153">
        <v>0.36339780076579281</v>
      </c>
      <c r="G1153" s="166">
        <v>71.097690198479924</v>
      </c>
    </row>
    <row r="1154" spans="1:7" x14ac:dyDescent="0.25">
      <c r="A1154">
        <v>49</v>
      </c>
      <c r="B1154">
        <v>9.0000000000000011E-2</v>
      </c>
      <c r="C1154">
        <v>0.17</v>
      </c>
      <c r="D1154">
        <v>2.8459041897674191</v>
      </c>
      <c r="E1154">
        <v>1.1694139096664722</v>
      </c>
      <c r="F1154">
        <v>0.36239211625095896</v>
      </c>
      <c r="G1154" s="166">
        <v>70.858405855554935</v>
      </c>
    </row>
    <row r="1155" spans="1:7" x14ac:dyDescent="0.25">
      <c r="A1155">
        <v>48</v>
      </c>
      <c r="B1155">
        <v>9.0000000000000011E-2</v>
      </c>
      <c r="C1155">
        <v>0.17</v>
      </c>
      <c r="D1155">
        <v>2.8380064413175936</v>
      </c>
      <c r="E1155">
        <v>1.1661686363626556</v>
      </c>
      <c r="F1155">
        <v>0.36138643173612506</v>
      </c>
      <c r="G1155" s="166">
        <v>70.617789727387404</v>
      </c>
    </row>
    <row r="1156" spans="1:7" x14ac:dyDescent="0.25">
      <c r="A1156">
        <v>47</v>
      </c>
      <c r="B1156">
        <v>9.0000000000000011E-2</v>
      </c>
      <c r="C1156">
        <v>0.17</v>
      </c>
      <c r="D1156">
        <v>2.830108692867769</v>
      </c>
      <c r="E1156">
        <v>1.1629233630588387</v>
      </c>
      <c r="F1156">
        <v>0.36038074722129126</v>
      </c>
      <c r="G1156" s="166">
        <v>70.375830664471039</v>
      </c>
    </row>
    <row r="1157" spans="1:7" x14ac:dyDescent="0.25">
      <c r="A1157">
        <v>46</v>
      </c>
      <c r="B1157">
        <v>9.0000000000000011E-2</v>
      </c>
      <c r="C1157">
        <v>0.17</v>
      </c>
      <c r="D1157">
        <v>2.822210944417944</v>
      </c>
      <c r="E1157">
        <v>1.1596780897550221</v>
      </c>
      <c r="F1157">
        <v>0.35937506270645742</v>
      </c>
      <c r="G1157" s="166">
        <v>70.132517392495444</v>
      </c>
    </row>
    <row r="1158" spans="1:7" x14ac:dyDescent="0.25">
      <c r="A1158">
        <v>45</v>
      </c>
      <c r="B1158">
        <v>9.0000000000000011E-2</v>
      </c>
      <c r="C1158">
        <v>0.17</v>
      </c>
      <c r="D1158">
        <v>2.8143131959681185</v>
      </c>
      <c r="E1158">
        <v>1.1564328164512054</v>
      </c>
      <c r="F1158">
        <v>0.35836937819162357</v>
      </c>
      <c r="G1158" s="166">
        <v>69.887838510594605</v>
      </c>
    </row>
    <row r="1159" spans="1:7" x14ac:dyDescent="0.25">
      <c r="A1159">
        <v>44</v>
      </c>
      <c r="B1159">
        <v>9.0000000000000011E-2</v>
      </c>
      <c r="C1159">
        <v>0.17</v>
      </c>
      <c r="D1159">
        <v>2.8053488160678182</v>
      </c>
      <c r="E1159">
        <v>1.1527492523366305</v>
      </c>
      <c r="F1159">
        <v>0.35722787082302415</v>
      </c>
      <c r="G1159" s="166">
        <v>69.623431329813087</v>
      </c>
    </row>
    <row r="1160" spans="1:7" x14ac:dyDescent="0.25">
      <c r="A1160">
        <v>43</v>
      </c>
      <c r="B1160">
        <v>9.0000000000000011E-2</v>
      </c>
      <c r="C1160">
        <v>0.17</v>
      </c>
      <c r="D1160">
        <v>2.7956714361828463</v>
      </c>
      <c r="E1160">
        <v>1.1487727085417609</v>
      </c>
      <c r="F1160">
        <v>0.35599557137004573</v>
      </c>
      <c r="G1160" s="166">
        <v>69.34494690961975</v>
      </c>
    </row>
    <row r="1161" spans="1:7" x14ac:dyDescent="0.25">
      <c r="A1161">
        <v>42</v>
      </c>
      <c r="B1161">
        <v>9.0000000000000011E-2</v>
      </c>
      <c r="C1161">
        <v>0.17</v>
      </c>
      <c r="D1161">
        <v>2.7859940562978744</v>
      </c>
      <c r="E1161">
        <v>1.1447961647468914</v>
      </c>
      <c r="F1161">
        <v>0.35476327191706725</v>
      </c>
      <c r="G1161" s="166">
        <v>69.064527812272161</v>
      </c>
    </row>
    <row r="1162" spans="1:7" x14ac:dyDescent="0.25">
      <c r="A1162">
        <v>41</v>
      </c>
      <c r="B1162">
        <v>9.0000000000000011E-2</v>
      </c>
      <c r="C1162">
        <v>0.17</v>
      </c>
      <c r="D1162">
        <v>2.7763166764129021</v>
      </c>
      <c r="E1162">
        <v>1.1408196209520218</v>
      </c>
      <c r="F1162">
        <v>0.35353097246408882</v>
      </c>
      <c r="G1162" s="166">
        <v>68.782153806714661</v>
      </c>
    </row>
    <row r="1163" spans="1:7" x14ac:dyDescent="0.25">
      <c r="A1163">
        <v>40</v>
      </c>
      <c r="B1163">
        <v>9.0000000000000011E-2</v>
      </c>
      <c r="C1163">
        <v>0.17</v>
      </c>
      <c r="D1163">
        <v>2.7666392965279298</v>
      </c>
      <c r="E1163">
        <v>1.1368430771571523</v>
      </c>
      <c r="F1163">
        <v>0.35229867301111034</v>
      </c>
      <c r="G1163" s="166">
        <v>68.497804378828093</v>
      </c>
    </row>
    <row r="1164" spans="1:7" x14ac:dyDescent="0.25">
      <c r="A1164">
        <v>39</v>
      </c>
      <c r="B1164">
        <v>9.0000000000000011E-2</v>
      </c>
      <c r="C1164">
        <v>0.17</v>
      </c>
      <c r="D1164">
        <v>2.7558238061418296</v>
      </c>
      <c r="E1164">
        <v>1.1323988710089461</v>
      </c>
      <c r="F1164">
        <v>0.35092144869575798</v>
      </c>
      <c r="G1164" s="166">
        <v>68.194120767912068</v>
      </c>
    </row>
    <row r="1165" spans="1:7" x14ac:dyDescent="0.25">
      <c r="A1165">
        <v>38</v>
      </c>
      <c r="B1165">
        <v>9.0000000000000011E-2</v>
      </c>
      <c r="C1165">
        <v>0.17</v>
      </c>
      <c r="D1165">
        <v>2.7441411223083017</v>
      </c>
      <c r="E1165">
        <v>1.1275983253594177</v>
      </c>
      <c r="F1165">
        <v>0.3494337975888987</v>
      </c>
      <c r="G1165" s="166">
        <v>67.874674836157837</v>
      </c>
    </row>
    <row r="1166" spans="1:7" x14ac:dyDescent="0.25">
      <c r="A1166">
        <v>37</v>
      </c>
      <c r="B1166">
        <v>9.0000000000000011E-2</v>
      </c>
      <c r="C1166">
        <v>0.17</v>
      </c>
      <c r="D1166">
        <v>2.7324584384747745</v>
      </c>
      <c r="E1166">
        <v>1.1227977797098894</v>
      </c>
      <c r="F1166">
        <v>0.34794614648203942</v>
      </c>
      <c r="G1166" s="166">
        <v>67.552497308731319</v>
      </c>
    </row>
    <row r="1167" spans="1:7" x14ac:dyDescent="0.25">
      <c r="A1167">
        <v>36</v>
      </c>
      <c r="B1167">
        <v>9.0000000000000011E-2</v>
      </c>
      <c r="C1167">
        <v>0.17</v>
      </c>
      <c r="D1167">
        <v>2.720775754641247</v>
      </c>
      <c r="E1167">
        <v>1.117997234060361</v>
      </c>
      <c r="F1167">
        <v>0.3464584953751802</v>
      </c>
      <c r="G1167" s="166">
        <v>67.227552998202739</v>
      </c>
    </row>
    <row r="1168" spans="1:7" x14ac:dyDescent="0.25">
      <c r="A1168">
        <v>35</v>
      </c>
      <c r="B1168">
        <v>9.0000000000000011E-2</v>
      </c>
      <c r="C1168">
        <v>0.17</v>
      </c>
      <c r="D1168">
        <v>2.7083322130589593</v>
      </c>
      <c r="E1168">
        <v>1.1128840434392002</v>
      </c>
      <c r="F1168">
        <v>0.34487395806578097</v>
      </c>
      <c r="G1168" s="166">
        <v>66.889668698932127</v>
      </c>
    </row>
    <row r="1169" spans="1:7" x14ac:dyDescent="0.25">
      <c r="A1169">
        <v>34</v>
      </c>
      <c r="B1169">
        <v>9.0000000000000011E-2</v>
      </c>
      <c r="C1169">
        <v>0.17</v>
      </c>
      <c r="D1169">
        <v>2.6944050355673088</v>
      </c>
      <c r="E1169">
        <v>1.1071612102040937</v>
      </c>
      <c r="F1169">
        <v>0.34310049733482983</v>
      </c>
      <c r="G1169" s="166">
        <v>66.528602232180774</v>
      </c>
    </row>
    <row r="1170" spans="1:7" x14ac:dyDescent="0.25">
      <c r="A1170">
        <v>33</v>
      </c>
      <c r="B1170">
        <v>9.0000000000000011E-2</v>
      </c>
      <c r="C1170">
        <v>0.17</v>
      </c>
      <c r="D1170">
        <v>2.6804778580756583</v>
      </c>
      <c r="E1170">
        <v>1.1014383769689873</v>
      </c>
      <c r="F1170">
        <v>0.34132703660387864</v>
      </c>
      <c r="G1170" s="166">
        <v>66.163783720432221</v>
      </c>
    </row>
    <row r="1171" spans="1:7" x14ac:dyDescent="0.25">
      <c r="A1171">
        <v>32</v>
      </c>
      <c r="B1171">
        <v>9.0000000000000011E-2</v>
      </c>
      <c r="C1171">
        <v>0.17</v>
      </c>
      <c r="D1171">
        <v>2.6665506805840078</v>
      </c>
      <c r="E1171">
        <v>1.0957155437338806</v>
      </c>
      <c r="F1171">
        <v>0.33955357587292739</v>
      </c>
      <c r="G1171" s="166">
        <v>65.795154373808245</v>
      </c>
    </row>
    <row r="1172" spans="1:7" x14ac:dyDescent="0.25">
      <c r="A1172">
        <v>31</v>
      </c>
      <c r="B1172">
        <v>9.0000000000000011E-2</v>
      </c>
      <c r="C1172">
        <v>0.17</v>
      </c>
      <c r="D1172">
        <v>2.6507699661833293</v>
      </c>
      <c r="E1172">
        <v>1.0892310714206592</v>
      </c>
      <c r="F1172">
        <v>0.33754408921902807</v>
      </c>
      <c r="G1172" s="166">
        <v>65.401100133279385</v>
      </c>
    </row>
    <row r="1173" spans="1:7" x14ac:dyDescent="0.25">
      <c r="A1173">
        <v>30</v>
      </c>
      <c r="B1173">
        <v>9.0000000000000011E-2</v>
      </c>
      <c r="C1173">
        <v>0.17</v>
      </c>
      <c r="D1173">
        <v>2.6343448429860477</v>
      </c>
      <c r="E1173">
        <v>1.0824818043146376</v>
      </c>
      <c r="F1173">
        <v>0.33545254475433828</v>
      </c>
      <c r="G1173" s="166">
        <v>64.994682868949781</v>
      </c>
    </row>
    <row r="1174" spans="1:7" x14ac:dyDescent="0.25">
      <c r="A1174">
        <v>29</v>
      </c>
      <c r="B1174">
        <v>9.0000000000000011E-2</v>
      </c>
      <c r="C1174">
        <v>0.17</v>
      </c>
      <c r="D1174">
        <v>2.6179197197887656</v>
      </c>
      <c r="E1174">
        <v>1.0757325372086157</v>
      </c>
      <c r="F1174">
        <v>0.33336100028964843</v>
      </c>
      <c r="G1174" s="166">
        <v>64.583165789231941</v>
      </c>
    </row>
    <row r="1175" spans="1:7" x14ac:dyDescent="0.25">
      <c r="A1175">
        <v>28</v>
      </c>
      <c r="B1175">
        <v>9.0000000000000011E-2</v>
      </c>
      <c r="C1175">
        <v>0.17</v>
      </c>
      <c r="D1175">
        <v>2.5996950371410508</v>
      </c>
      <c r="E1175">
        <v>1.0682438109668386</v>
      </c>
      <c r="F1175">
        <v>0.33104030329062284</v>
      </c>
      <c r="G1175" s="166">
        <v>64.148603848233549</v>
      </c>
    </row>
    <row r="1176" spans="1:7" x14ac:dyDescent="0.25">
      <c r="A1176">
        <v>27</v>
      </c>
      <c r="B1176">
        <v>9.0000000000000011E-2</v>
      </c>
      <c r="C1176">
        <v>0.17</v>
      </c>
      <c r="D1176">
        <v>2.5805034682179597</v>
      </c>
      <c r="E1176">
        <v>1.0603577803240363</v>
      </c>
      <c r="F1176">
        <v>0.32859648480185516</v>
      </c>
      <c r="G1176" s="166">
        <v>63.698073124285358</v>
      </c>
    </row>
    <row r="1177" spans="1:7" x14ac:dyDescent="0.25">
      <c r="A1177">
        <v>26</v>
      </c>
      <c r="B1177">
        <v>9.0000000000000011E-2</v>
      </c>
      <c r="C1177">
        <v>0.17</v>
      </c>
      <c r="D1177">
        <v>2.5613118992948691</v>
      </c>
      <c r="E1177">
        <v>1.0524717496812341</v>
      </c>
      <c r="F1177">
        <v>0.32615266631308748</v>
      </c>
      <c r="G1177" s="166">
        <v>63.240790866919433</v>
      </c>
    </row>
    <row r="1178" spans="1:7" x14ac:dyDescent="0.25">
      <c r="A1178">
        <v>25</v>
      </c>
      <c r="B1178">
        <v>9.0000000000000011E-2</v>
      </c>
      <c r="C1178">
        <v>0.17</v>
      </c>
      <c r="D1178">
        <v>2.5391622706352384</v>
      </c>
      <c r="E1178">
        <v>1.0433702191582983</v>
      </c>
      <c r="F1178">
        <v>0.32333217403053022</v>
      </c>
      <c r="G1178" s="166">
        <v>62.751802326920753</v>
      </c>
    </row>
    <row r="1179" spans="1:7" x14ac:dyDescent="0.25">
      <c r="A1179">
        <v>24</v>
      </c>
      <c r="B1179">
        <v>9.0000000000000011E-2</v>
      </c>
      <c r="C1179">
        <v>0.17</v>
      </c>
      <c r="D1179">
        <v>2.5168638327996469</v>
      </c>
      <c r="E1179">
        <v>1.0342075412780898</v>
      </c>
      <c r="F1179">
        <v>0.32049273266585415</v>
      </c>
      <c r="G1179" s="166">
        <v>62.254262559827986</v>
      </c>
    </row>
    <row r="1180" spans="1:7" x14ac:dyDescent="0.25">
      <c r="A1180">
        <v>23</v>
      </c>
      <c r="B1180">
        <v>9.0000000000000011E-2</v>
      </c>
      <c r="C1180">
        <v>0.17</v>
      </c>
      <c r="D1180">
        <v>2.4924154779355328</v>
      </c>
      <c r="E1180">
        <v>1.0241614384087965</v>
      </c>
      <c r="F1180">
        <v>0.3173795248881936</v>
      </c>
      <c r="G1180" s="166">
        <v>61.734359910179485</v>
      </c>
    </row>
    <row r="1181" spans="1:7" x14ac:dyDescent="0.25">
      <c r="A1181">
        <v>22</v>
      </c>
      <c r="B1181">
        <v>9.0000000000000011E-2</v>
      </c>
      <c r="C1181">
        <v>0.17</v>
      </c>
      <c r="D1181">
        <v>2.4667165659001271</v>
      </c>
      <c r="E1181">
        <v>1.013601467589837</v>
      </c>
      <c r="F1181">
        <v>0.31410707349951245</v>
      </c>
      <c r="G1181" s="166">
        <v>61.195354416623658</v>
      </c>
    </row>
    <row r="1182" spans="1:7" x14ac:dyDescent="0.25">
      <c r="A1182">
        <v>21</v>
      </c>
      <c r="B1182">
        <v>9.0000000000000011E-2</v>
      </c>
      <c r="C1182">
        <v>0.17</v>
      </c>
      <c r="D1182">
        <v>2.4389378116299754</v>
      </c>
      <c r="E1182">
        <v>1.0021868662994902</v>
      </c>
      <c r="F1182">
        <v>0.31056977889101106</v>
      </c>
      <c r="G1182" s="166">
        <v>60.63409990544794</v>
      </c>
    </row>
    <row r="1183" spans="1:7" x14ac:dyDescent="0.25">
      <c r="A1183">
        <v>20</v>
      </c>
      <c r="B1183">
        <v>9.0000000000000011E-2</v>
      </c>
      <c r="C1183">
        <v>0.17</v>
      </c>
      <c r="D1183">
        <v>2.4095667667657232</v>
      </c>
      <c r="E1183">
        <v>0.99011797496815512</v>
      </c>
      <c r="F1183">
        <v>0.30682972497664229</v>
      </c>
      <c r="G1183" s="166">
        <v>60.051080038681725</v>
      </c>
    </row>
    <row r="1184" spans="1:7" x14ac:dyDescent="0.25">
      <c r="A1184">
        <v>19</v>
      </c>
      <c r="B1184">
        <v>9.0000000000000011E-2</v>
      </c>
      <c r="C1184">
        <v>0.17</v>
      </c>
      <c r="D1184">
        <v>2.3772193272641191</v>
      </c>
      <c r="E1184">
        <v>0.97682604974056619</v>
      </c>
      <c r="F1184">
        <v>0.30271066253651002</v>
      </c>
      <c r="G1184" s="166">
        <v>59.44219099963825</v>
      </c>
    </row>
    <row r="1185" spans="1:7" x14ac:dyDescent="0.25">
      <c r="A1185">
        <v>18</v>
      </c>
      <c r="B1185">
        <v>9.0000000000000011E-2</v>
      </c>
      <c r="C1185">
        <v>0.17</v>
      </c>
      <c r="D1185">
        <v>2.3433187288464263</v>
      </c>
      <c r="E1185">
        <v>0.96289591411681297</v>
      </c>
      <c r="F1185">
        <v>0.29839382374519224</v>
      </c>
      <c r="G1185" s="166">
        <v>58.81099897743966</v>
      </c>
    </row>
    <row r="1186" spans="1:7" x14ac:dyDescent="0.25">
      <c r="A1186">
        <v>17</v>
      </c>
      <c r="B1186">
        <v>9.0000000000000011E-2</v>
      </c>
      <c r="C1186">
        <v>0.17</v>
      </c>
      <c r="D1186">
        <v>2.3049594240341955</v>
      </c>
      <c r="E1186">
        <v>0.94713364609182216</v>
      </c>
      <c r="F1186">
        <v>0.29350922162162046</v>
      </c>
      <c r="G1186" s="166">
        <v>58.114761225209193</v>
      </c>
    </row>
    <row r="1187" spans="1:7" x14ac:dyDescent="0.25">
      <c r="A1187">
        <v>16</v>
      </c>
      <c r="B1187">
        <v>9.0000000000000011E-2</v>
      </c>
      <c r="C1187">
        <v>0.17</v>
      </c>
      <c r="D1187">
        <v>2.2617513497025943</v>
      </c>
      <c r="E1187">
        <v>0.92937896435834932</v>
      </c>
      <c r="F1187">
        <v>0.28800718625709282</v>
      </c>
      <c r="G1187" s="166">
        <v>57.153661516187384</v>
      </c>
    </row>
    <row r="1188" spans="1:7" x14ac:dyDescent="0.25">
      <c r="A1188">
        <v>15</v>
      </c>
      <c r="B1188">
        <v>9.0000000000000011E-2</v>
      </c>
      <c r="C1188">
        <v>0.17</v>
      </c>
      <c r="D1188">
        <v>2.2130591548089078</v>
      </c>
      <c r="E1188">
        <v>0.90937079605612658</v>
      </c>
      <c r="F1188">
        <v>0.28180681323825651</v>
      </c>
      <c r="G1188" s="166">
        <v>56.179509489623534</v>
      </c>
    </row>
    <row r="1189" spans="1:7" x14ac:dyDescent="0.25">
      <c r="A1189">
        <v>14</v>
      </c>
      <c r="B1189">
        <v>9.0000000000000011E-2</v>
      </c>
      <c r="C1189">
        <v>0.17</v>
      </c>
      <c r="D1189">
        <v>2.1582218357804543</v>
      </c>
      <c r="E1189">
        <v>0.88683752741297783</v>
      </c>
      <c r="F1189">
        <v>0.2748239316065757</v>
      </c>
      <c r="G1189" s="166">
        <v>55.196382188203906</v>
      </c>
    </row>
    <row r="1190" spans="1:7" x14ac:dyDescent="0.25">
      <c r="A1190">
        <v>13</v>
      </c>
      <c r="B1190">
        <v>9.0000000000000011E-2</v>
      </c>
      <c r="C1190">
        <v>0.17</v>
      </c>
      <c r="D1190">
        <v>2.096445664666617</v>
      </c>
      <c r="E1190">
        <v>0.86145300672313629</v>
      </c>
      <c r="F1190">
        <v>0.2669574695294899</v>
      </c>
      <c r="G1190" s="166">
        <v>54.209960856330767</v>
      </c>
    </row>
    <row r="1191" spans="1:7" x14ac:dyDescent="0.25">
      <c r="A1191">
        <v>12</v>
      </c>
      <c r="B1191">
        <v>9.0000000000000011E-2</v>
      </c>
      <c r="C1191">
        <v>0.17</v>
      </c>
      <c r="D1191">
        <v>2.0251060123867677</v>
      </c>
      <c r="E1191">
        <v>0.8321387444978704</v>
      </c>
      <c r="F1191">
        <v>0.25787321164925014</v>
      </c>
      <c r="G1191" s="166">
        <v>53.244605082398024</v>
      </c>
    </row>
    <row r="1192" spans="1:7" x14ac:dyDescent="0.25">
      <c r="A1192">
        <v>11</v>
      </c>
      <c r="B1192">
        <v>9.0000000000000011E-2</v>
      </c>
      <c r="C1192">
        <v>0.17</v>
      </c>
      <c r="D1192">
        <v>1.9434397140246746</v>
      </c>
      <c r="E1192">
        <v>0.79858114772459021</v>
      </c>
      <c r="F1192">
        <v>0.24747397797292608</v>
      </c>
      <c r="G1192" s="166">
        <v>52.314609075609461</v>
      </c>
    </row>
    <row r="1193" spans="1:7" x14ac:dyDescent="0.25">
      <c r="A1193">
        <v>10</v>
      </c>
      <c r="B1193">
        <v>9.0000000000000011E-2</v>
      </c>
      <c r="C1193">
        <v>0.17</v>
      </c>
      <c r="D1193">
        <v>1.8483578111838512</v>
      </c>
      <c r="E1193">
        <v>0.75951092879754256</v>
      </c>
      <c r="F1193">
        <v>0.2353664263162169</v>
      </c>
      <c r="G1193" s="166">
        <v>51.465155252849399</v>
      </c>
    </row>
    <row r="1194" spans="1:7" x14ac:dyDescent="0.25">
      <c r="A1194">
        <v>9</v>
      </c>
      <c r="B1194">
        <v>9.0000000000000011E-2</v>
      </c>
      <c r="C1194">
        <v>0.17</v>
      </c>
      <c r="D1194">
        <v>1.7362788409637084</v>
      </c>
      <c r="E1194">
        <v>0.71345642449350255</v>
      </c>
      <c r="F1194">
        <v>0.22109449989250091</v>
      </c>
      <c r="G1194" s="166">
        <v>50.771093311826675</v>
      </c>
    </row>
    <row r="1195" spans="1:7" x14ac:dyDescent="0.25">
      <c r="A1195">
        <v>8</v>
      </c>
      <c r="B1195">
        <v>9.0000000000000011E-2</v>
      </c>
      <c r="C1195">
        <v>0.17</v>
      </c>
      <c r="D1195">
        <v>1.6031284839319133</v>
      </c>
      <c r="E1195">
        <v>0.65874345131967149</v>
      </c>
      <c r="F1195">
        <v>0.2041393824862939</v>
      </c>
      <c r="G1195" s="166">
        <v>50.353428989688702</v>
      </c>
    </row>
    <row r="1196" spans="1:7" x14ac:dyDescent="0.25">
      <c r="A1196">
        <v>7</v>
      </c>
      <c r="B1196">
        <v>9.0000000000000011E-2</v>
      </c>
      <c r="C1196">
        <v>0.17</v>
      </c>
      <c r="D1196">
        <v>1.4400955688887931</v>
      </c>
      <c r="E1196">
        <v>0.59175140033271323</v>
      </c>
      <c r="F1196">
        <v>0.18337907603835701</v>
      </c>
      <c r="G1196" s="166">
        <v>50.519183058313104</v>
      </c>
    </row>
    <row r="1197" spans="1:7" x14ac:dyDescent="0.25">
      <c r="A1197">
        <v>6</v>
      </c>
      <c r="B1197">
        <v>9.0000000000000011E-2</v>
      </c>
      <c r="C1197">
        <v>0.17</v>
      </c>
      <c r="D1197">
        <v>1.2472499472749026</v>
      </c>
      <c r="E1197">
        <v>0.51250897427198516</v>
      </c>
      <c r="F1197">
        <v>0.15882247530047311</v>
      </c>
      <c r="G1197" s="166">
        <v>50.704052194459727</v>
      </c>
    </row>
    <row r="1198" spans="1:7" x14ac:dyDescent="0.25">
      <c r="A1198">
        <v>5</v>
      </c>
      <c r="B1198">
        <v>9.0000000000000011E-2</v>
      </c>
      <c r="C1198">
        <v>0.17</v>
      </c>
      <c r="D1198">
        <v>1.051736457957001</v>
      </c>
      <c r="E1198">
        <v>0.43217029148784464</v>
      </c>
      <c r="F1198">
        <v>0.13392615327941662</v>
      </c>
      <c r="G1198" s="166">
        <v>50.235258121158182</v>
      </c>
    </row>
    <row r="1199" spans="1:7" x14ac:dyDescent="0.25">
      <c r="A1199">
        <v>4</v>
      </c>
      <c r="B1199">
        <v>9.0000000000000011E-2</v>
      </c>
      <c r="C1199">
        <v>0.17</v>
      </c>
      <c r="D1199">
        <v>0.85582085046852563</v>
      </c>
      <c r="E1199">
        <v>0.35166637384313165</v>
      </c>
      <c r="F1199">
        <v>0.10897862628268271</v>
      </c>
      <c r="G1199" s="166">
        <v>49.565361154476939</v>
      </c>
    </row>
    <row r="1200" spans="1:7" x14ac:dyDescent="0.25">
      <c r="A1200">
        <v>3</v>
      </c>
      <c r="B1200">
        <v>9.0000000000000011E-2</v>
      </c>
      <c r="C1200">
        <v>0.17</v>
      </c>
      <c r="D1200">
        <v>0.65914438439676826</v>
      </c>
      <c r="E1200">
        <v>0.27084981088387211</v>
      </c>
      <c r="F1200">
        <v>8.3934212977142389E-2</v>
      </c>
      <c r="G1200" s="166">
        <v>48.528530135390881</v>
      </c>
    </row>
    <row r="1201" spans="1:7" x14ac:dyDescent="0.25">
      <c r="A1201">
        <v>2</v>
      </c>
      <c r="B1201">
        <v>9.0000000000000011E-2</v>
      </c>
      <c r="C1201">
        <v>0.17</v>
      </c>
      <c r="D1201">
        <v>0.46073990363093031</v>
      </c>
      <c r="E1201">
        <v>0.18932318733064335</v>
      </c>
      <c r="F1201">
        <v>5.866975751271556E-2</v>
      </c>
      <c r="G1201" s="166">
        <v>46.711143223481315</v>
      </c>
    </row>
    <row r="1202" spans="1:7" x14ac:dyDescent="0.25">
      <c r="A1202">
        <v>1</v>
      </c>
      <c r="B1202">
        <v>9.0000000000000011E-2</v>
      </c>
      <c r="C1202">
        <v>0.17</v>
      </c>
      <c r="D1202">
        <v>0.25687365029115755</v>
      </c>
      <c r="E1202">
        <v>0.1055522602473241</v>
      </c>
      <c r="F1202">
        <v>3.270981014498911E-2</v>
      </c>
      <c r="G1202" s="166">
        <v>42.711552294881479</v>
      </c>
    </row>
    <row r="1203" spans="1:7" x14ac:dyDescent="0.25">
      <c r="A1203">
        <v>50</v>
      </c>
      <c r="B1203">
        <v>8.5000000000000006E-2</v>
      </c>
      <c r="C1203">
        <v>0.17</v>
      </c>
      <c r="D1203">
        <v>2.8487612810128331</v>
      </c>
      <c r="E1203">
        <v>1.1705879204626144</v>
      </c>
      <c r="F1203">
        <v>0.36275593290595054</v>
      </c>
      <c r="G1203" s="166">
        <v>70.967458420926548</v>
      </c>
    </row>
    <row r="1204" spans="1:7" x14ac:dyDescent="0.25">
      <c r="A1204">
        <v>49</v>
      </c>
      <c r="B1204">
        <v>8.5000000000000006E-2</v>
      </c>
      <c r="C1204">
        <v>0.17</v>
      </c>
      <c r="D1204">
        <v>2.8409632479023945</v>
      </c>
      <c r="E1204">
        <v>1.1673836213087023</v>
      </c>
      <c r="F1204">
        <v>0.36176294595591624</v>
      </c>
      <c r="G1204" s="166">
        <v>70.729982682052679</v>
      </c>
    </row>
    <row r="1205" spans="1:7" x14ac:dyDescent="0.25">
      <c r="A1205">
        <v>48</v>
      </c>
      <c r="B1205">
        <v>8.5000000000000006E-2</v>
      </c>
      <c r="C1205">
        <v>0.17</v>
      </c>
      <c r="D1205">
        <v>2.8331652147919559</v>
      </c>
      <c r="E1205">
        <v>1.1641793221547903</v>
      </c>
      <c r="F1205">
        <v>0.36076995900588199</v>
      </c>
      <c r="G1205" s="166">
        <v>70.491199681840811</v>
      </c>
    </row>
    <row r="1206" spans="1:7" x14ac:dyDescent="0.25">
      <c r="A1206">
        <v>47</v>
      </c>
      <c r="B1206">
        <v>8.5000000000000006E-2</v>
      </c>
      <c r="C1206">
        <v>0.17</v>
      </c>
      <c r="D1206">
        <v>2.8253671816815178</v>
      </c>
      <c r="E1206">
        <v>1.1609750230008784</v>
      </c>
      <c r="F1206">
        <v>0.35977697205584774</v>
      </c>
      <c r="G1206" s="166">
        <v>70.251098596139798</v>
      </c>
    </row>
    <row r="1207" spans="1:7" x14ac:dyDescent="0.25">
      <c r="A1207">
        <v>46</v>
      </c>
      <c r="B1207">
        <v>8.5000000000000006E-2</v>
      </c>
      <c r="C1207">
        <v>0.17</v>
      </c>
      <c r="D1207">
        <v>2.8175691485710792</v>
      </c>
      <c r="E1207">
        <v>1.1577707238469663</v>
      </c>
      <c r="F1207">
        <v>0.3587839851058135</v>
      </c>
      <c r="G1207" s="166">
        <v>70.009668480968742</v>
      </c>
    </row>
    <row r="1208" spans="1:7" x14ac:dyDescent="0.25">
      <c r="A1208">
        <v>45</v>
      </c>
      <c r="B1208">
        <v>8.5000000000000006E-2</v>
      </c>
      <c r="C1208">
        <v>0.17</v>
      </c>
      <c r="D1208">
        <v>2.8088236987935091</v>
      </c>
      <c r="E1208">
        <v>1.1541771205721434</v>
      </c>
      <c r="F1208">
        <v>0.357670355889533</v>
      </c>
      <c r="G1208" s="166">
        <v>69.750660542180555</v>
      </c>
    </row>
    <row r="1209" spans="1:7" x14ac:dyDescent="0.25">
      <c r="A1209">
        <v>44</v>
      </c>
      <c r="B1209">
        <v>8.5000000000000006E-2</v>
      </c>
      <c r="C1209">
        <v>0.17</v>
      </c>
      <c r="D1209">
        <v>2.7992825796435907</v>
      </c>
      <c r="E1209">
        <v>1.1502565678396177</v>
      </c>
      <c r="F1209">
        <v>0.35645540762368011</v>
      </c>
      <c r="G1209" s="166">
        <v>69.476272575525229</v>
      </c>
    </row>
    <row r="1210" spans="1:7" x14ac:dyDescent="0.25">
      <c r="A1210">
        <v>43</v>
      </c>
      <c r="B1210">
        <v>8.5000000000000006E-2</v>
      </c>
      <c r="C1210">
        <v>0.17</v>
      </c>
      <c r="D1210">
        <v>2.7897414604936728</v>
      </c>
      <c r="E1210">
        <v>1.1463360151070918</v>
      </c>
      <c r="F1210">
        <v>0.35524045935782722</v>
      </c>
      <c r="G1210" s="166">
        <v>69.200007755175577</v>
      </c>
    </row>
    <row r="1211" spans="1:7" x14ac:dyDescent="0.25">
      <c r="A1211">
        <v>42</v>
      </c>
      <c r="B1211">
        <v>8.5000000000000006E-2</v>
      </c>
      <c r="C1211">
        <v>0.17</v>
      </c>
      <c r="D1211">
        <v>2.7802003413437548</v>
      </c>
      <c r="E1211">
        <v>1.1424154623745661</v>
      </c>
      <c r="F1211">
        <v>0.35402551109197439</v>
      </c>
      <c r="G1211" s="166">
        <v>68.92184675811616</v>
      </c>
    </row>
    <row r="1212" spans="1:7" x14ac:dyDescent="0.25">
      <c r="A1212">
        <v>41</v>
      </c>
      <c r="B1212">
        <v>8.5000000000000006E-2</v>
      </c>
      <c r="C1212">
        <v>0.17</v>
      </c>
      <c r="D1212">
        <v>2.7706592221938369</v>
      </c>
      <c r="E1212">
        <v>1.1384949096420403</v>
      </c>
      <c r="F1212">
        <v>0.3528105628261215</v>
      </c>
      <c r="G1212" s="166">
        <v>68.641769995166399</v>
      </c>
    </row>
    <row r="1213" spans="1:7" x14ac:dyDescent="0.25">
      <c r="A1213">
        <v>40</v>
      </c>
      <c r="B1213">
        <v>8.5000000000000006E-2</v>
      </c>
      <c r="C1213">
        <v>0.17</v>
      </c>
      <c r="D1213">
        <v>2.7601495553243498</v>
      </c>
      <c r="E1213">
        <v>1.1341763698024601</v>
      </c>
      <c r="F1213">
        <v>0.35147228150533072</v>
      </c>
      <c r="G1213" s="166">
        <v>68.345077927437401</v>
      </c>
    </row>
    <row r="1214" spans="1:7" x14ac:dyDescent="0.25">
      <c r="A1214">
        <v>39</v>
      </c>
      <c r="B1214">
        <v>8.5000000000000006E-2</v>
      </c>
      <c r="C1214">
        <v>0.17</v>
      </c>
      <c r="D1214">
        <v>2.7486485627671464</v>
      </c>
      <c r="E1214">
        <v>1.1294504831335686</v>
      </c>
      <c r="F1214">
        <v>0.3500077666257444</v>
      </c>
      <c r="G1214" s="166">
        <v>68.030916932922452</v>
      </c>
    </row>
    <row r="1215" spans="1:7" x14ac:dyDescent="0.25">
      <c r="A1215">
        <v>38</v>
      </c>
      <c r="B1215">
        <v>8.5000000000000006E-2</v>
      </c>
      <c r="C1215">
        <v>0.17</v>
      </c>
      <c r="D1215">
        <v>2.7371475702099426</v>
      </c>
      <c r="E1215">
        <v>1.1247245964646768</v>
      </c>
      <c r="F1215">
        <v>0.34854325174615797</v>
      </c>
      <c r="G1215" s="166">
        <v>67.714115844538256</v>
      </c>
    </row>
    <row r="1216" spans="1:7" x14ac:dyDescent="0.25">
      <c r="A1216">
        <v>37</v>
      </c>
      <c r="B1216">
        <v>8.5000000000000006E-2</v>
      </c>
      <c r="C1216">
        <v>0.17</v>
      </c>
      <c r="D1216">
        <v>2.7256465776527392</v>
      </c>
      <c r="E1216">
        <v>1.1199987097957853</v>
      </c>
      <c r="F1216">
        <v>0.34707873686657165</v>
      </c>
      <c r="G1216" s="166">
        <v>67.394641242288031</v>
      </c>
    </row>
    <row r="1217" spans="1:7" x14ac:dyDescent="0.25">
      <c r="A1217">
        <v>36</v>
      </c>
      <c r="B1217">
        <v>8.5000000000000006E-2</v>
      </c>
      <c r="C1217">
        <v>0.17</v>
      </c>
      <c r="D1217">
        <v>2.7136044124457648</v>
      </c>
      <c r="E1217">
        <v>1.1150504492232156</v>
      </c>
      <c r="F1217">
        <v>0.34554531007402889</v>
      </c>
      <c r="G1217" s="166">
        <v>67.065297179434282</v>
      </c>
    </row>
    <row r="1218" spans="1:7" x14ac:dyDescent="0.25">
      <c r="A1218">
        <v>35</v>
      </c>
      <c r="B1218">
        <v>8.5000000000000006E-2</v>
      </c>
      <c r="C1218">
        <v>0.17</v>
      </c>
      <c r="D1218">
        <v>2.6999145765179366</v>
      </c>
      <c r="E1218">
        <v>1.1094251422952397</v>
      </c>
      <c r="F1218">
        <v>0.34380207197386659</v>
      </c>
      <c r="G1218" s="166">
        <v>66.710893789017206</v>
      </c>
    </row>
    <row r="1219" spans="1:7" x14ac:dyDescent="0.25">
      <c r="A1219">
        <v>34</v>
      </c>
      <c r="B1219">
        <v>8.5000000000000006E-2</v>
      </c>
      <c r="C1219">
        <v>0.17</v>
      </c>
      <c r="D1219">
        <v>2.6862247405901081</v>
      </c>
      <c r="E1219">
        <v>1.1037998353672638</v>
      </c>
      <c r="F1219">
        <v>0.34205883387370428</v>
      </c>
      <c r="G1219" s="166">
        <v>66.352878099008265</v>
      </c>
    </row>
    <row r="1220" spans="1:7" x14ac:dyDescent="0.25">
      <c r="A1220">
        <v>33</v>
      </c>
      <c r="B1220">
        <v>8.5000000000000006E-2</v>
      </c>
      <c r="C1220">
        <v>0.17</v>
      </c>
      <c r="D1220">
        <v>2.6725349046622795</v>
      </c>
      <c r="E1220">
        <v>1.0981745284392879</v>
      </c>
      <c r="F1220">
        <v>0.34031559577354192</v>
      </c>
      <c r="G1220" s="166">
        <v>65.991194598302243</v>
      </c>
    </row>
    <row r="1221" spans="1:7" x14ac:dyDescent="0.25">
      <c r="A1221">
        <v>32</v>
      </c>
      <c r="B1221">
        <v>8.5000000000000006E-2</v>
      </c>
      <c r="C1221">
        <v>0.17</v>
      </c>
      <c r="D1221">
        <v>2.6573105550126725</v>
      </c>
      <c r="E1221">
        <v>1.0919186726343419</v>
      </c>
      <c r="F1221">
        <v>0.33837695556636171</v>
      </c>
      <c r="G1221" s="166">
        <v>65.608103613943783</v>
      </c>
    </row>
    <row r="1222" spans="1:7" x14ac:dyDescent="0.25">
      <c r="A1222">
        <v>31</v>
      </c>
      <c r="B1222">
        <v>8.5000000000000006E-2</v>
      </c>
      <c r="C1222">
        <v>0.17</v>
      </c>
      <c r="D1222">
        <v>2.6411900982374439</v>
      </c>
      <c r="E1222">
        <v>1.0852945963738301</v>
      </c>
      <c r="F1222">
        <v>0.33632420675397651</v>
      </c>
      <c r="G1222" s="166">
        <v>65.210070881756465</v>
      </c>
    </row>
    <row r="1223" spans="1:7" x14ac:dyDescent="0.25">
      <c r="A1223">
        <v>30</v>
      </c>
      <c r="B1223">
        <v>8.5000000000000006E-2</v>
      </c>
      <c r="C1223">
        <v>0.17</v>
      </c>
      <c r="D1223">
        <v>2.6250696414622152</v>
      </c>
      <c r="E1223">
        <v>1.0786705201133182</v>
      </c>
      <c r="F1223">
        <v>0.3342714579415913</v>
      </c>
      <c r="G1223" s="166">
        <v>64.807149540632466</v>
      </c>
    </row>
    <row r="1224" spans="1:7" x14ac:dyDescent="0.25">
      <c r="A1224">
        <v>29</v>
      </c>
      <c r="B1224">
        <v>8.5000000000000006E-2</v>
      </c>
      <c r="C1224">
        <v>0.17</v>
      </c>
      <c r="D1224">
        <v>2.6075512266283249</v>
      </c>
      <c r="E1224">
        <v>1.0714720072274249</v>
      </c>
      <c r="F1224">
        <v>0.33204069576490164</v>
      </c>
      <c r="G1224" s="166">
        <v>64.385550279336982</v>
      </c>
    </row>
    <row r="1225" spans="1:7" x14ac:dyDescent="0.25">
      <c r="A1225">
        <v>28</v>
      </c>
      <c r="B1225">
        <v>8.5000000000000006E-2</v>
      </c>
      <c r="C1225">
        <v>0.17</v>
      </c>
      <c r="D1225">
        <v>2.5887449075754567</v>
      </c>
      <c r="E1225">
        <v>1.0637442800716324</v>
      </c>
      <c r="F1225">
        <v>0.32964593427399685</v>
      </c>
      <c r="G1225" s="166">
        <v>63.945316460490581</v>
      </c>
    </row>
    <row r="1226" spans="1:7" x14ac:dyDescent="0.25">
      <c r="A1226">
        <v>27</v>
      </c>
      <c r="B1226">
        <v>8.5000000000000006E-2</v>
      </c>
      <c r="C1226">
        <v>0.17</v>
      </c>
      <c r="D1226">
        <v>2.5699385885225889</v>
      </c>
      <c r="E1226">
        <v>1.0560165529158396</v>
      </c>
      <c r="F1226">
        <v>0.32725117278309207</v>
      </c>
      <c r="G1226" s="166">
        <v>63.498639547873751</v>
      </c>
    </row>
    <row r="1227" spans="1:7" x14ac:dyDescent="0.25">
      <c r="A1227">
        <v>26</v>
      </c>
      <c r="B1227">
        <v>8.5000000000000006E-2</v>
      </c>
      <c r="C1227">
        <v>0.17</v>
      </c>
      <c r="D1227">
        <v>2.5487087365545604</v>
      </c>
      <c r="E1227">
        <v>1.0472929689382635</v>
      </c>
      <c r="F1227">
        <v>0.32454780314399784</v>
      </c>
      <c r="G1227" s="166">
        <v>63.025388633717363</v>
      </c>
    </row>
    <row r="1228" spans="1:7" x14ac:dyDescent="0.25">
      <c r="A1228">
        <v>25</v>
      </c>
      <c r="B1228">
        <v>8.5000000000000006E-2</v>
      </c>
      <c r="C1228">
        <v>0.17</v>
      </c>
      <c r="D1228">
        <v>2.5269471602933842</v>
      </c>
      <c r="E1228">
        <v>1.0383508934925798</v>
      </c>
      <c r="F1228">
        <v>0.32177672472800628</v>
      </c>
      <c r="G1228" s="166">
        <v>62.539658771416292</v>
      </c>
    </row>
    <row r="1229" spans="1:7" x14ac:dyDescent="0.25">
      <c r="A1229">
        <v>24</v>
      </c>
      <c r="B1229">
        <v>8.5000000000000006E-2</v>
      </c>
      <c r="C1229">
        <v>0.17</v>
      </c>
      <c r="D1229">
        <v>2.5036472266562102</v>
      </c>
      <c r="E1229">
        <v>1.0287766897693533</v>
      </c>
      <c r="F1229">
        <v>0.31880975476125822</v>
      </c>
      <c r="G1229" s="166">
        <v>62.036579726726494</v>
      </c>
    </row>
    <row r="1230" spans="1:7" x14ac:dyDescent="0.25">
      <c r="A1230">
        <v>23</v>
      </c>
      <c r="B1230">
        <v>8.5000000000000006E-2</v>
      </c>
      <c r="C1230">
        <v>0.17</v>
      </c>
      <c r="D1230">
        <v>2.4785429628073263</v>
      </c>
      <c r="E1230">
        <v>1.0184610665511238</v>
      </c>
      <c r="F1230">
        <v>0.31561302476035724</v>
      </c>
      <c r="G1230" s="166">
        <v>61.512698158883943</v>
      </c>
    </row>
    <row r="1231" spans="1:7" x14ac:dyDescent="0.25">
      <c r="A1231">
        <v>22</v>
      </c>
      <c r="B1231">
        <v>8.5000000000000006E-2</v>
      </c>
      <c r="C1231">
        <v>0.17</v>
      </c>
      <c r="D1231">
        <v>2.452102833803929</v>
      </c>
      <c r="E1231">
        <v>1.0075965213773539</v>
      </c>
      <c r="F1231">
        <v>0.31224618818942101</v>
      </c>
      <c r="G1231" s="166">
        <v>60.971313808727047</v>
      </c>
    </row>
    <row r="1232" spans="1:7" x14ac:dyDescent="0.25">
      <c r="A1232">
        <v>21</v>
      </c>
      <c r="B1232">
        <v>8.5000000000000006E-2</v>
      </c>
      <c r="C1232">
        <v>0.17</v>
      </c>
      <c r="D1232">
        <v>2.4234579119998729</v>
      </c>
      <c r="E1232">
        <v>0.99582600214504302</v>
      </c>
      <c r="F1232">
        <v>0.30859859742732182</v>
      </c>
      <c r="G1232" s="166">
        <v>60.40629229451639</v>
      </c>
    </row>
    <row r="1233" spans="1:7" x14ac:dyDescent="0.25">
      <c r="A1233">
        <v>20</v>
      </c>
      <c r="B1233">
        <v>8.5000000000000006E-2</v>
      </c>
      <c r="C1233">
        <v>0.17</v>
      </c>
      <c r="D1233">
        <v>2.3927546550912679</v>
      </c>
      <c r="E1233">
        <v>0.98320968996205271</v>
      </c>
      <c r="F1233">
        <v>0.30468890212313254</v>
      </c>
      <c r="G1233" s="166">
        <v>59.820188026109115</v>
      </c>
    </row>
    <row r="1234" spans="1:7" x14ac:dyDescent="0.25">
      <c r="A1234">
        <v>19</v>
      </c>
      <c r="B1234">
        <v>8.5000000000000006E-2</v>
      </c>
      <c r="C1234">
        <v>0.17</v>
      </c>
      <c r="D1234">
        <v>2.3602526649606013</v>
      </c>
      <c r="E1234">
        <v>0.96985425814979975</v>
      </c>
      <c r="F1234">
        <v>0.30055015949498293</v>
      </c>
      <c r="G1234" s="166">
        <v>59.211679850153317</v>
      </c>
    </row>
    <row r="1235" spans="1:7" x14ac:dyDescent="0.25">
      <c r="A1235">
        <v>18</v>
      </c>
      <c r="B1235">
        <v>8.5000000000000006E-2</v>
      </c>
      <c r="C1235">
        <v>0.17</v>
      </c>
      <c r="D1235">
        <v>2.3240168145595175</v>
      </c>
      <c r="E1235">
        <v>0.95496454132799624</v>
      </c>
      <c r="F1235">
        <v>0.29593595408419743</v>
      </c>
      <c r="G1235" s="166">
        <v>58.577265805136363</v>
      </c>
    </row>
    <row r="1236" spans="1:7" x14ac:dyDescent="0.25">
      <c r="A1236">
        <v>17</v>
      </c>
      <c r="B1236">
        <v>8.5000000000000006E-2</v>
      </c>
      <c r="C1236">
        <v>0.17</v>
      </c>
      <c r="D1236">
        <v>2.2832260261313428</v>
      </c>
      <c r="E1236">
        <v>0.93820314944921068</v>
      </c>
      <c r="F1236">
        <v>0.29074173138507015</v>
      </c>
      <c r="G1236" s="166">
        <v>57.673944682713845</v>
      </c>
    </row>
    <row r="1237" spans="1:7" x14ac:dyDescent="0.25">
      <c r="A1237">
        <v>16</v>
      </c>
      <c r="B1237">
        <v>8.5000000000000006E-2</v>
      </c>
      <c r="C1237">
        <v>0.17</v>
      </c>
      <c r="D1237">
        <v>2.2370773428784356</v>
      </c>
      <c r="E1237">
        <v>0.91924013857105713</v>
      </c>
      <c r="F1237">
        <v>0.28486524438092292</v>
      </c>
      <c r="G1237" s="166">
        <v>56.740424755132253</v>
      </c>
    </row>
    <row r="1238" spans="1:7" x14ac:dyDescent="0.25">
      <c r="A1238">
        <v>15</v>
      </c>
      <c r="B1238">
        <v>8.5000000000000006E-2</v>
      </c>
      <c r="C1238">
        <v>0.17</v>
      </c>
      <c r="D1238">
        <v>2.1850367734817366</v>
      </c>
      <c r="E1238">
        <v>0.89785608567908803</v>
      </c>
      <c r="F1238">
        <v>0.27823849561601954</v>
      </c>
      <c r="G1238" s="166">
        <v>55.80085464128458</v>
      </c>
    </row>
    <row r="1239" spans="1:7" x14ac:dyDescent="0.25">
      <c r="A1239">
        <v>14</v>
      </c>
      <c r="B1239">
        <v>8.5000000000000006E-2</v>
      </c>
      <c r="C1239">
        <v>0.17</v>
      </c>
      <c r="D1239">
        <v>2.1264682641474533</v>
      </c>
      <c r="E1239">
        <v>0.87378962914474523</v>
      </c>
      <c r="F1239">
        <v>0.27078049118999931</v>
      </c>
      <c r="G1239" s="166">
        <v>54.860741024829188</v>
      </c>
    </row>
    <row r="1240" spans="1:7" x14ac:dyDescent="0.25">
      <c r="A1240">
        <v>13</v>
      </c>
      <c r="B1240">
        <v>8.5000000000000006E-2</v>
      </c>
      <c r="C1240">
        <v>0.17</v>
      </c>
      <c r="D1240">
        <v>2.0599855663210538</v>
      </c>
      <c r="E1240">
        <v>0.84647114390905698</v>
      </c>
      <c r="F1240">
        <v>0.26231470880491103</v>
      </c>
      <c r="G1240" s="166">
        <v>53.933539543058437</v>
      </c>
    </row>
    <row r="1241" spans="1:7" x14ac:dyDescent="0.25">
      <c r="A1241">
        <v>12</v>
      </c>
      <c r="B1241">
        <v>8.5000000000000006E-2</v>
      </c>
      <c r="C1241">
        <v>0.17</v>
      </c>
      <c r="D1241">
        <v>1.9836959949693578</v>
      </c>
      <c r="E1241">
        <v>0.81512290449118086</v>
      </c>
      <c r="F1241">
        <v>0.2526001374889037</v>
      </c>
      <c r="G1241" s="166">
        <v>53.042039397745683</v>
      </c>
    </row>
    <row r="1242" spans="1:7" x14ac:dyDescent="0.25">
      <c r="A1242">
        <v>11</v>
      </c>
      <c r="B1242">
        <v>8.5000000000000006E-2</v>
      </c>
      <c r="C1242">
        <v>0.17</v>
      </c>
      <c r="D1242">
        <v>1.8952584511707289</v>
      </c>
      <c r="E1242">
        <v>0.77878292712064734</v>
      </c>
      <c r="F1242">
        <v>0.24133866608433011</v>
      </c>
      <c r="G1242" s="166">
        <v>52.224700719993109</v>
      </c>
    </row>
    <row r="1243" spans="1:7" x14ac:dyDescent="0.25">
      <c r="A1243">
        <v>10</v>
      </c>
      <c r="B1243">
        <v>8.5000000000000006E-2</v>
      </c>
      <c r="C1243">
        <v>0.17</v>
      </c>
      <c r="D1243">
        <v>1.7924409223304678</v>
      </c>
      <c r="E1243">
        <v>0.73653405282064455</v>
      </c>
      <c r="F1243">
        <v>0.22824607428236879</v>
      </c>
      <c r="G1243" s="166">
        <v>51.530881365854199</v>
      </c>
    </row>
    <row r="1244" spans="1:7" x14ac:dyDescent="0.25">
      <c r="A1244">
        <v>9</v>
      </c>
      <c r="B1244">
        <v>8.5000000000000006E-2</v>
      </c>
      <c r="C1244">
        <v>0.17</v>
      </c>
      <c r="D1244">
        <v>1.6704602360015692</v>
      </c>
      <c r="E1244">
        <v>0.68641082245450402</v>
      </c>
      <c r="F1244">
        <v>0.21271328185055943</v>
      </c>
      <c r="G1244" s="166">
        <v>51.078503873421305</v>
      </c>
    </row>
    <row r="1245" spans="1:7" x14ac:dyDescent="0.25">
      <c r="A1245">
        <v>8</v>
      </c>
      <c r="B1245">
        <v>8.5000000000000006E-2</v>
      </c>
      <c r="C1245">
        <v>0.17</v>
      </c>
      <c r="D1245">
        <v>1.524316654249749</v>
      </c>
      <c r="E1245">
        <v>0.62635878770099929</v>
      </c>
      <c r="F1245">
        <v>0.19410363151237803</v>
      </c>
      <c r="G1245" s="166">
        <v>51.058937472559421</v>
      </c>
    </row>
    <row r="1246" spans="1:7" x14ac:dyDescent="0.25">
      <c r="A1246">
        <v>7</v>
      </c>
      <c r="B1246">
        <v>8.5000000000000006E-2</v>
      </c>
      <c r="C1246">
        <v>0.17</v>
      </c>
      <c r="D1246">
        <v>1.3484570992367848</v>
      </c>
      <c r="E1246">
        <v>0.55409612667419794</v>
      </c>
      <c r="F1246">
        <v>0.17171000472295739</v>
      </c>
      <c r="G1246" s="166">
        <v>51.397022311204168</v>
      </c>
    </row>
    <row r="1247" spans="1:7" x14ac:dyDescent="0.25">
      <c r="A1247">
        <v>6</v>
      </c>
      <c r="B1247">
        <v>8.5000000000000006E-2</v>
      </c>
      <c r="C1247">
        <v>0.17</v>
      </c>
      <c r="D1247">
        <v>1.1663775308312159</v>
      </c>
      <c r="E1247">
        <v>0.47927759247156149</v>
      </c>
      <c r="F1247">
        <v>0.14852433306267995</v>
      </c>
      <c r="G1247" s="166">
        <v>51.023378283636795</v>
      </c>
    </row>
    <row r="1248" spans="1:7" x14ac:dyDescent="0.25">
      <c r="A1248">
        <v>5</v>
      </c>
      <c r="B1248">
        <v>8.5000000000000006E-2</v>
      </c>
      <c r="C1248">
        <v>0.17</v>
      </c>
      <c r="D1248">
        <v>0.98400925373535386</v>
      </c>
      <c r="E1248">
        <v>0.40434042463414405</v>
      </c>
      <c r="F1248">
        <v>0.1253018977778112</v>
      </c>
      <c r="G1248" s="166">
        <v>50.52020959797013</v>
      </c>
    </row>
    <row r="1249" spans="1:7" x14ac:dyDescent="0.25">
      <c r="A1249">
        <v>4</v>
      </c>
      <c r="B1249">
        <v>8.5000000000000006E-2</v>
      </c>
      <c r="C1249">
        <v>0.17</v>
      </c>
      <c r="D1249">
        <v>0.80125595743228084</v>
      </c>
      <c r="E1249">
        <v>0.32924504809173216</v>
      </c>
      <c r="F1249">
        <v>0.102030434867276</v>
      </c>
      <c r="G1249" s="166">
        <v>49.802382670253664</v>
      </c>
    </row>
    <row r="1250" spans="1:7" x14ac:dyDescent="0.25">
      <c r="A1250">
        <v>3</v>
      </c>
      <c r="B1250">
        <v>8.5000000000000006E-2</v>
      </c>
      <c r="C1250">
        <v>0.17</v>
      </c>
      <c r="D1250">
        <v>0.61778155678123947</v>
      </c>
      <c r="E1250">
        <v>0.25385336169536699</v>
      </c>
      <c r="F1250">
        <v>7.8667147877898802E-2</v>
      </c>
      <c r="G1250" s="166">
        <v>48.693770376153971</v>
      </c>
    </row>
    <row r="1251" spans="1:7" x14ac:dyDescent="0.25">
      <c r="A1251">
        <v>2</v>
      </c>
      <c r="B1251">
        <v>8.5000000000000006E-2</v>
      </c>
      <c r="C1251">
        <v>0.17</v>
      </c>
      <c r="D1251">
        <v>0.43259400546936672</v>
      </c>
      <c r="E1251">
        <v>0.17775772250279251</v>
      </c>
      <c r="F1251">
        <v>5.508571148782581E-2</v>
      </c>
      <c r="G1251" s="166">
        <v>46.762385388198922</v>
      </c>
    </row>
    <row r="1252" spans="1:7" x14ac:dyDescent="0.25">
      <c r="A1252">
        <v>1</v>
      </c>
      <c r="B1252">
        <v>8.5000000000000006E-2</v>
      </c>
      <c r="C1252">
        <v>0.17</v>
      </c>
      <c r="D1252">
        <v>0.24200515737490982</v>
      </c>
      <c r="E1252">
        <v>9.9442629960206655E-2</v>
      </c>
      <c r="F1252">
        <v>3.0816484068603611E-2</v>
      </c>
      <c r="G1252" s="166">
        <v>42.563271406012575</v>
      </c>
    </row>
    <row r="1253" spans="1:7" x14ac:dyDescent="0.25">
      <c r="A1253">
        <v>50</v>
      </c>
      <c r="B1253">
        <v>0.08</v>
      </c>
      <c r="C1253">
        <v>0.17</v>
      </c>
      <c r="D1253">
        <v>2.8438038739227767</v>
      </c>
      <c r="E1253">
        <v>1.1685508663594457</v>
      </c>
      <c r="F1253">
        <v>0.36212466595995052</v>
      </c>
      <c r="G1253" s="166">
        <v>70.838759044697682</v>
      </c>
    </row>
    <row r="1254" spans="1:7" x14ac:dyDescent="0.25">
      <c r="A1254">
        <v>49</v>
      </c>
      <c r="B1254">
        <v>0.08</v>
      </c>
      <c r="C1254">
        <v>0.17</v>
      </c>
      <c r="D1254">
        <v>2.8361039119983342</v>
      </c>
      <c r="E1254">
        <v>1.1653868657543933</v>
      </c>
      <c r="F1254">
        <v>0.36114416721129849</v>
      </c>
      <c r="G1254" s="166">
        <v>70.603078827958342</v>
      </c>
    </row>
    <row r="1255" spans="1:7" x14ac:dyDescent="0.25">
      <c r="A1255">
        <v>48</v>
      </c>
      <c r="B1255">
        <v>0.08</v>
      </c>
      <c r="C1255">
        <v>0.17</v>
      </c>
      <c r="D1255">
        <v>2.8284039500738922</v>
      </c>
      <c r="E1255">
        <v>1.1622228651493409</v>
      </c>
      <c r="F1255">
        <v>0.36016366846264652</v>
      </c>
      <c r="G1255" s="166">
        <v>70.366115393738554</v>
      </c>
    </row>
    <row r="1256" spans="1:7" x14ac:dyDescent="0.25">
      <c r="A1256">
        <v>47</v>
      </c>
      <c r="B1256">
        <v>0.08</v>
      </c>
      <c r="C1256">
        <v>0.17</v>
      </c>
      <c r="D1256">
        <v>2.8207039881494502</v>
      </c>
      <c r="E1256">
        <v>1.1590588645442887</v>
      </c>
      <c r="F1256">
        <v>0.35918316971399455</v>
      </c>
      <c r="G1256" s="166">
        <v>70.127858233251388</v>
      </c>
    </row>
    <row r="1257" spans="1:7" x14ac:dyDescent="0.25">
      <c r="A1257">
        <v>46</v>
      </c>
      <c r="B1257">
        <v>0.08</v>
      </c>
      <c r="C1257">
        <v>0.17</v>
      </c>
      <c r="D1257">
        <v>2.8121436923802272</v>
      </c>
      <c r="E1257">
        <v>1.1555413431254786</v>
      </c>
      <c r="F1257">
        <v>0.35809311766280572</v>
      </c>
      <c r="G1257" s="166">
        <v>69.873606050426076</v>
      </c>
    </row>
    <row r="1258" spans="1:7" x14ac:dyDescent="0.25">
      <c r="A1258">
        <v>45</v>
      </c>
      <c r="B1258">
        <v>0.08</v>
      </c>
      <c r="C1258">
        <v>0.17</v>
      </c>
      <c r="D1258">
        <v>2.8027363100241973</v>
      </c>
      <c r="E1258">
        <v>1.1516757443395997</v>
      </c>
      <c r="F1258">
        <v>0.35689519919013141</v>
      </c>
      <c r="G1258" s="166">
        <v>69.603206459077299</v>
      </c>
    </row>
    <row r="1259" spans="1:7" x14ac:dyDescent="0.25">
      <c r="A1259">
        <v>44</v>
      </c>
      <c r="B1259">
        <v>0.08</v>
      </c>
      <c r="C1259">
        <v>0.17</v>
      </c>
      <c r="D1259">
        <v>2.793328927668167</v>
      </c>
      <c r="E1259">
        <v>1.1478101455537209</v>
      </c>
      <c r="F1259">
        <v>0.35569728071745704</v>
      </c>
      <c r="G1259" s="166">
        <v>69.330985562461152</v>
      </c>
    </row>
    <row r="1260" spans="1:7" x14ac:dyDescent="0.25">
      <c r="A1260">
        <v>43</v>
      </c>
      <c r="B1260">
        <v>0.08</v>
      </c>
      <c r="C1260">
        <v>0.17</v>
      </c>
      <c r="D1260">
        <v>2.7839215453121362</v>
      </c>
      <c r="E1260">
        <v>1.1439445467678417</v>
      </c>
      <c r="F1260">
        <v>0.35449936224478268</v>
      </c>
      <c r="G1260" s="166">
        <v>69.056924897002304</v>
      </c>
    </row>
    <row r="1261" spans="1:7" x14ac:dyDescent="0.25">
      <c r="A1261">
        <v>42</v>
      </c>
      <c r="B1261">
        <v>0.08</v>
      </c>
      <c r="C1261">
        <v>0.17</v>
      </c>
      <c r="D1261">
        <v>2.7745141629561059</v>
      </c>
      <c r="E1261">
        <v>1.1400789479819629</v>
      </c>
      <c r="F1261">
        <v>0.35330144377210831</v>
      </c>
      <c r="G1261" s="166">
        <v>68.781005748712047</v>
      </c>
    </row>
    <row r="1262" spans="1:7" x14ac:dyDescent="0.25">
      <c r="A1262">
        <v>41</v>
      </c>
      <c r="B1262">
        <v>0.08</v>
      </c>
      <c r="C1262">
        <v>0.17</v>
      </c>
      <c r="D1262">
        <v>2.7642672899297374</v>
      </c>
      <c r="E1262">
        <v>1.135868393076177</v>
      </c>
      <c r="F1262">
        <v>0.35199662612774335</v>
      </c>
      <c r="G1262" s="166">
        <v>68.490548026733364</v>
      </c>
    </row>
    <row r="1263" spans="1:7" x14ac:dyDescent="0.25">
      <c r="A1263">
        <v>40</v>
      </c>
      <c r="B1263">
        <v>0.08</v>
      </c>
      <c r="C1263">
        <v>0.17</v>
      </c>
      <c r="D1263">
        <v>2.7529442520737417</v>
      </c>
      <c r="E1263">
        <v>1.1312156299873524</v>
      </c>
      <c r="F1263">
        <v>0.35055477166694393</v>
      </c>
      <c r="G1263" s="166">
        <v>68.181512178555863</v>
      </c>
    </row>
    <row r="1264" spans="1:7" x14ac:dyDescent="0.25">
      <c r="A1264">
        <v>39</v>
      </c>
      <c r="B1264">
        <v>0.08</v>
      </c>
      <c r="C1264">
        <v>0.17</v>
      </c>
      <c r="D1264">
        <v>2.7416212142177461</v>
      </c>
      <c r="E1264">
        <v>1.1265628668985277</v>
      </c>
      <c r="F1264">
        <v>0.34911291720614451</v>
      </c>
      <c r="G1264" s="166">
        <v>67.869923662205522</v>
      </c>
    </row>
    <row r="1265" spans="1:7" x14ac:dyDescent="0.25">
      <c r="A1265">
        <v>38</v>
      </c>
      <c r="B1265">
        <v>0.08</v>
      </c>
      <c r="C1265">
        <v>0.17</v>
      </c>
      <c r="D1265">
        <v>2.7302981763617513</v>
      </c>
      <c r="E1265">
        <v>1.1219101038097032</v>
      </c>
      <c r="F1265">
        <v>0.34767106274534515</v>
      </c>
      <c r="G1265" s="166">
        <v>67.555750718559494</v>
      </c>
    </row>
    <row r="1266" spans="1:7" x14ac:dyDescent="0.25">
      <c r="A1266">
        <v>37</v>
      </c>
      <c r="B1266">
        <v>0.08</v>
      </c>
      <c r="C1266">
        <v>0.17</v>
      </c>
      <c r="D1266">
        <v>2.7186035256535641</v>
      </c>
      <c r="E1266">
        <v>1.1171046408373315</v>
      </c>
      <c r="F1266">
        <v>0.34618188779905079</v>
      </c>
      <c r="G1266" s="166">
        <v>67.234074882069393</v>
      </c>
    </row>
    <row r="1267" spans="1:7" x14ac:dyDescent="0.25">
      <c r="A1267">
        <v>36</v>
      </c>
      <c r="B1267">
        <v>0.08</v>
      </c>
      <c r="C1267">
        <v>0.17</v>
      </c>
      <c r="D1267">
        <v>2.7051456633255744</v>
      </c>
      <c r="E1267">
        <v>1.111574654459957</v>
      </c>
      <c r="F1267">
        <v>0.34446818878318453</v>
      </c>
      <c r="G1267" s="166">
        <v>66.886105863351517</v>
      </c>
    </row>
    <row r="1268" spans="1:7" x14ac:dyDescent="0.25">
      <c r="A1268">
        <v>35</v>
      </c>
      <c r="B1268">
        <v>0.08</v>
      </c>
      <c r="C1268">
        <v>0.17</v>
      </c>
      <c r="D1268">
        <v>2.6916878009975851</v>
      </c>
      <c r="E1268">
        <v>1.1060446680825822</v>
      </c>
      <c r="F1268">
        <v>0.3427544897673182</v>
      </c>
      <c r="G1268" s="166">
        <v>66.534657303546766</v>
      </c>
    </row>
    <row r="1269" spans="1:7" x14ac:dyDescent="0.25">
      <c r="A1269">
        <v>34</v>
      </c>
      <c r="B1269">
        <v>0.08</v>
      </c>
      <c r="C1269">
        <v>0.17</v>
      </c>
      <c r="D1269">
        <v>2.6782299386695954</v>
      </c>
      <c r="E1269">
        <v>1.1005146817052076</v>
      </c>
      <c r="F1269">
        <v>0.34104079075145194</v>
      </c>
      <c r="G1269" s="166">
        <v>66.179676749520823</v>
      </c>
    </row>
    <row r="1270" spans="1:7" x14ac:dyDescent="0.25">
      <c r="A1270">
        <v>33</v>
      </c>
      <c r="B1270">
        <v>0.08</v>
      </c>
      <c r="C1270">
        <v>0.17</v>
      </c>
      <c r="D1270">
        <v>2.6634939259229218</v>
      </c>
      <c r="E1270">
        <v>1.0944594890037305</v>
      </c>
      <c r="F1270">
        <v>0.33916433445205535</v>
      </c>
      <c r="G1270" s="166">
        <v>65.806509805669336</v>
      </c>
    </row>
    <row r="1271" spans="1:7" x14ac:dyDescent="0.25">
      <c r="A1271">
        <v>32</v>
      </c>
      <c r="B1271">
        <v>0.08</v>
      </c>
      <c r="C1271">
        <v>0.17</v>
      </c>
      <c r="D1271">
        <v>2.6476706170440441</v>
      </c>
      <c r="E1271">
        <v>1.0879575141422995</v>
      </c>
      <c r="F1271">
        <v>0.33714942389697522</v>
      </c>
      <c r="G1271" s="166">
        <v>65.416534887044094</v>
      </c>
    </row>
    <row r="1272" spans="1:7" x14ac:dyDescent="0.25">
      <c r="A1272">
        <v>31</v>
      </c>
      <c r="B1272">
        <v>0.08</v>
      </c>
      <c r="C1272">
        <v>0.17</v>
      </c>
      <c r="D1272">
        <v>2.6318473081651672</v>
      </c>
      <c r="E1272">
        <v>1.0814555392808689</v>
      </c>
      <c r="F1272">
        <v>0.3351345133418952</v>
      </c>
      <c r="G1272" s="166">
        <v>65.021870719484582</v>
      </c>
    </row>
    <row r="1273" spans="1:7" x14ac:dyDescent="0.25">
      <c r="A1273">
        <v>30</v>
      </c>
      <c r="B1273">
        <v>0.08</v>
      </c>
      <c r="C1273">
        <v>0.17</v>
      </c>
      <c r="D1273">
        <v>2.6149513271382756</v>
      </c>
      <c r="E1273">
        <v>1.074512791418397</v>
      </c>
      <c r="F1273">
        <v>0.3329830107219241</v>
      </c>
      <c r="G1273" s="166">
        <v>64.612042317693835</v>
      </c>
    </row>
    <row r="1274" spans="1:7" x14ac:dyDescent="0.25">
      <c r="A1274">
        <v>29</v>
      </c>
      <c r="B1274">
        <v>0.08</v>
      </c>
      <c r="C1274">
        <v>0.17</v>
      </c>
      <c r="D1274">
        <v>2.5965199531490706</v>
      </c>
      <c r="E1274">
        <v>1.0669391333891707</v>
      </c>
      <c r="F1274">
        <v>0.33063599403409011</v>
      </c>
      <c r="G1274" s="166">
        <v>64.181654415217835</v>
      </c>
    </row>
    <row r="1275" spans="1:7" x14ac:dyDescent="0.25">
      <c r="A1275">
        <v>28</v>
      </c>
      <c r="B1275">
        <v>0.08</v>
      </c>
      <c r="C1275">
        <v>0.17</v>
      </c>
      <c r="D1275">
        <v>2.5780885791598664</v>
      </c>
      <c r="E1275">
        <v>1.0593654753599444</v>
      </c>
      <c r="F1275">
        <v>0.32828897734625617</v>
      </c>
      <c r="G1275" s="166">
        <v>63.745112619927532</v>
      </c>
    </row>
    <row r="1276" spans="1:7" x14ac:dyDescent="0.25">
      <c r="A1276">
        <v>27</v>
      </c>
      <c r="B1276">
        <v>0.08</v>
      </c>
      <c r="C1276">
        <v>0.17</v>
      </c>
      <c r="D1276">
        <v>2.5576746359453573</v>
      </c>
      <c r="E1276">
        <v>1.0509771574285036</v>
      </c>
      <c r="F1276">
        <v>0.32568950400167479</v>
      </c>
      <c r="G1276" s="166">
        <v>63.286188945557818</v>
      </c>
    </row>
    <row r="1277" spans="1:7" x14ac:dyDescent="0.25">
      <c r="A1277">
        <v>26</v>
      </c>
      <c r="B1277">
        <v>0.08</v>
      </c>
      <c r="C1277">
        <v>0.17</v>
      </c>
      <c r="D1277">
        <v>2.5363800131412035</v>
      </c>
      <c r="E1277">
        <v>1.0422269583888397</v>
      </c>
      <c r="F1277">
        <v>0.32297788656546245</v>
      </c>
      <c r="G1277" s="166">
        <v>62.812503453695442</v>
      </c>
    </row>
    <row r="1278" spans="1:7" x14ac:dyDescent="0.25">
      <c r="A1278">
        <v>25</v>
      </c>
      <c r="B1278">
        <v>0.08</v>
      </c>
      <c r="C1278">
        <v>0.17</v>
      </c>
      <c r="D1278">
        <v>2.5141103881177247</v>
      </c>
      <c r="E1278">
        <v>1.0330761200158725</v>
      </c>
      <c r="F1278">
        <v>0.32014211417038635</v>
      </c>
      <c r="G1278" s="166">
        <v>62.32450038303498</v>
      </c>
    </row>
    <row r="1279" spans="1:7" x14ac:dyDescent="0.25">
      <c r="A1279">
        <v>24</v>
      </c>
      <c r="B1279">
        <v>0.08</v>
      </c>
      <c r="C1279">
        <v>0.17</v>
      </c>
      <c r="D1279">
        <v>2.4896289070724831</v>
      </c>
      <c r="E1279">
        <v>1.0230164052276942</v>
      </c>
      <c r="F1279">
        <v>0.3170246881667837</v>
      </c>
      <c r="G1279" s="166">
        <v>61.814163275661215</v>
      </c>
    </row>
    <row r="1280" spans="1:7" x14ac:dyDescent="0.25">
      <c r="A1280">
        <v>23</v>
      </c>
      <c r="B1280">
        <v>0.08</v>
      </c>
      <c r="C1280">
        <v>0.17</v>
      </c>
      <c r="D1280">
        <v>2.4643766200559711</v>
      </c>
      <c r="E1280">
        <v>1.0126399576318206</v>
      </c>
      <c r="F1280">
        <v>0.31380910917259475</v>
      </c>
      <c r="G1280" s="166">
        <v>61.290869740402115</v>
      </c>
    </row>
    <row r="1281" spans="1:7" x14ac:dyDescent="0.25">
      <c r="A1281">
        <v>22</v>
      </c>
      <c r="B1281">
        <v>0.08</v>
      </c>
      <c r="C1281">
        <v>0.17</v>
      </c>
      <c r="D1281">
        <v>2.4364338090330047</v>
      </c>
      <c r="E1281">
        <v>1.0011579435840778</v>
      </c>
      <c r="F1281">
        <v>0.31025092388405867</v>
      </c>
      <c r="G1281" s="166">
        <v>60.742749623535552</v>
      </c>
    </row>
    <row r="1282" spans="1:7" x14ac:dyDescent="0.25">
      <c r="A1282">
        <v>21</v>
      </c>
      <c r="B1282">
        <v>0.08</v>
      </c>
      <c r="C1282">
        <v>0.17</v>
      </c>
      <c r="D1282">
        <v>2.4071926898851124</v>
      </c>
      <c r="E1282">
        <v>0.98914244018494413</v>
      </c>
      <c r="F1282">
        <v>0.30652741446738468</v>
      </c>
      <c r="G1282" s="166">
        <v>60.177358461837528</v>
      </c>
    </row>
    <row r="1283" spans="1:7" x14ac:dyDescent="0.25">
      <c r="A1283">
        <v>20</v>
      </c>
      <c r="B1283">
        <v>0.08</v>
      </c>
      <c r="C1283">
        <v>0.17</v>
      </c>
      <c r="D1283">
        <v>2.3755384887194895</v>
      </c>
      <c r="E1283">
        <v>0.97613537435484476</v>
      </c>
      <c r="F1283">
        <v>0.30249662770025137</v>
      </c>
      <c r="G1283" s="166">
        <v>59.588894701852333</v>
      </c>
    </row>
    <row r="1284" spans="1:7" x14ac:dyDescent="0.25">
      <c r="A1284">
        <v>19</v>
      </c>
      <c r="B1284">
        <v>0.08</v>
      </c>
      <c r="C1284">
        <v>0.17</v>
      </c>
      <c r="D1284">
        <v>2.341113983542372</v>
      </c>
      <c r="E1284">
        <v>0.96198995957515876</v>
      </c>
      <c r="F1284">
        <v>0.29811307560215805</v>
      </c>
      <c r="G1284" s="166">
        <v>58.978443367546042</v>
      </c>
    </row>
    <row r="1285" spans="1:7" x14ac:dyDescent="0.25">
      <c r="A1285">
        <v>18</v>
      </c>
      <c r="B1285">
        <v>0.08</v>
      </c>
      <c r="C1285">
        <v>0.17</v>
      </c>
      <c r="D1285">
        <v>2.3022511167915702</v>
      </c>
      <c r="E1285">
        <v>0.94602077230901382</v>
      </c>
      <c r="F1285">
        <v>0.29316435084324294</v>
      </c>
      <c r="G1285" s="166">
        <v>58.156362695346346</v>
      </c>
    </row>
    <row r="1286" spans="1:7" x14ac:dyDescent="0.25">
      <c r="A1286">
        <v>17</v>
      </c>
      <c r="B1286">
        <v>0.08</v>
      </c>
      <c r="C1286">
        <v>0.17</v>
      </c>
      <c r="D1286">
        <v>2.2586807986123643</v>
      </c>
      <c r="E1286">
        <v>0.92811724052092459</v>
      </c>
      <c r="F1286">
        <v>0.28761618802473976</v>
      </c>
      <c r="G1286" s="166">
        <v>57.259025721337991</v>
      </c>
    </row>
    <row r="1287" spans="1:7" x14ac:dyDescent="0.25">
      <c r="A1287">
        <v>16</v>
      </c>
      <c r="B1287">
        <v>0.08</v>
      </c>
      <c r="C1287">
        <v>0.17</v>
      </c>
      <c r="D1287">
        <v>2.2093080754639147</v>
      </c>
      <c r="E1287">
        <v>0.90782943553595519</v>
      </c>
      <c r="F1287">
        <v>0.28132915781087248</v>
      </c>
      <c r="G1287" s="166">
        <v>56.358350828976938</v>
      </c>
    </row>
    <row r="1288" spans="1:7" x14ac:dyDescent="0.25">
      <c r="A1288">
        <v>15</v>
      </c>
      <c r="B1288">
        <v>0.08</v>
      </c>
      <c r="C1288">
        <v>0.17</v>
      </c>
      <c r="D1288">
        <v>2.1535147589684924</v>
      </c>
      <c r="E1288">
        <v>0.88490333682512579</v>
      </c>
      <c r="F1288">
        <v>0.27422454124994461</v>
      </c>
      <c r="G1288" s="166">
        <v>55.460975536109665</v>
      </c>
    </row>
    <row r="1289" spans="1:7" x14ac:dyDescent="0.25">
      <c r="A1289">
        <v>14</v>
      </c>
      <c r="B1289">
        <v>0.08</v>
      </c>
      <c r="C1289">
        <v>0.17</v>
      </c>
      <c r="D1289">
        <v>2.0908969362080883</v>
      </c>
      <c r="E1289">
        <v>0.85917297204603926</v>
      </c>
      <c r="F1289">
        <v>0.26625090482649744</v>
      </c>
      <c r="G1289" s="166">
        <v>54.572455031498293</v>
      </c>
    </row>
    <row r="1290" spans="1:7" x14ac:dyDescent="0.25">
      <c r="A1290">
        <v>13</v>
      </c>
      <c r="B1290">
        <v>0.08</v>
      </c>
      <c r="C1290">
        <v>0.17</v>
      </c>
      <c r="D1290">
        <v>2.0185980072576619</v>
      </c>
      <c r="E1290">
        <v>0.82946453229159822</v>
      </c>
      <c r="F1290">
        <v>0.25704449444935679</v>
      </c>
      <c r="G1290" s="166">
        <v>53.725269148931282</v>
      </c>
    </row>
    <row r="1291" spans="1:7" x14ac:dyDescent="0.25">
      <c r="A1291">
        <v>12</v>
      </c>
      <c r="B1291">
        <v>0.08</v>
      </c>
      <c r="C1291">
        <v>0.17</v>
      </c>
      <c r="D1291">
        <v>1.9359134793596522</v>
      </c>
      <c r="E1291">
        <v>0.7954885335964208</v>
      </c>
      <c r="F1291">
        <v>0.24651560132853112</v>
      </c>
      <c r="G1291" s="166">
        <v>52.938474083319662</v>
      </c>
    </row>
    <row r="1292" spans="1:7" x14ac:dyDescent="0.25">
      <c r="A1292">
        <v>11</v>
      </c>
      <c r="B1292">
        <v>0.08</v>
      </c>
      <c r="C1292">
        <v>0.17</v>
      </c>
      <c r="D1292">
        <v>1.8398979510497568</v>
      </c>
      <c r="E1292">
        <v>0.75603467750622588</v>
      </c>
      <c r="F1292">
        <v>0.23428916355094015</v>
      </c>
      <c r="G1292" s="166">
        <v>52.267945372648484</v>
      </c>
    </row>
    <row r="1293" spans="1:7" x14ac:dyDescent="0.25">
      <c r="A1293">
        <v>10</v>
      </c>
      <c r="B1293">
        <v>0.08</v>
      </c>
      <c r="C1293">
        <v>0.17</v>
      </c>
      <c r="D1293">
        <v>1.7275902041470674</v>
      </c>
      <c r="E1293">
        <v>0.70988616630070989</v>
      </c>
      <c r="F1293">
        <v>0.21998810513239625</v>
      </c>
      <c r="G1293" s="166">
        <v>51.793574153343357</v>
      </c>
    </row>
    <row r="1294" spans="1:7" x14ac:dyDescent="0.25">
      <c r="A1294">
        <v>9</v>
      </c>
      <c r="B1294">
        <v>0.08</v>
      </c>
      <c r="C1294">
        <v>0.17</v>
      </c>
      <c r="D1294">
        <v>1.5938232938410994</v>
      </c>
      <c r="E1294">
        <v>0.65491984448026563</v>
      </c>
      <c r="F1294">
        <v>0.20295447698552119</v>
      </c>
      <c r="G1294" s="166">
        <v>51.682565123010953</v>
      </c>
    </row>
    <row r="1295" spans="1:7" x14ac:dyDescent="0.25">
      <c r="A1295">
        <v>8</v>
      </c>
      <c r="B1295">
        <v>0.08</v>
      </c>
      <c r="C1295">
        <v>0.17</v>
      </c>
      <c r="D1295">
        <v>1.4326678119871779</v>
      </c>
      <c r="E1295">
        <v>0.588699251820616</v>
      </c>
      <c r="F1295">
        <v>0.18243323936815134</v>
      </c>
      <c r="G1295" s="166">
        <v>52.062140100271044</v>
      </c>
    </row>
    <row r="1296" spans="1:7" x14ac:dyDescent="0.25">
      <c r="A1296">
        <v>7</v>
      </c>
      <c r="B1296">
        <v>0.08</v>
      </c>
      <c r="C1296">
        <v>0.17</v>
      </c>
      <c r="D1296">
        <v>1.2626609253009378</v>
      </c>
      <c r="E1296">
        <v>0.51884151776730325</v>
      </c>
      <c r="F1296">
        <v>0.16078488041601863</v>
      </c>
      <c r="G1296" s="166">
        <v>51.754529179651655</v>
      </c>
    </row>
    <row r="1297" spans="1:7" x14ac:dyDescent="0.25">
      <c r="A1297">
        <v>6</v>
      </c>
      <c r="B1297">
        <v>0.08</v>
      </c>
      <c r="C1297">
        <v>0.17</v>
      </c>
      <c r="D1297">
        <v>1.0925819459124593</v>
      </c>
      <c r="E1297">
        <v>0.44895416001510202</v>
      </c>
      <c r="F1297">
        <v>0.13912734131403254</v>
      </c>
      <c r="G1297" s="166">
        <v>51.353240727595136</v>
      </c>
    </row>
    <row r="1298" spans="1:7" x14ac:dyDescent="0.25">
      <c r="A1298">
        <v>5</v>
      </c>
      <c r="B1298">
        <v>0.08</v>
      </c>
      <c r="C1298">
        <v>0.17</v>
      </c>
      <c r="D1298">
        <v>0.92221316229262429</v>
      </c>
      <c r="E1298">
        <v>0.37894771845802533</v>
      </c>
      <c r="F1298">
        <v>0.11743289908330534</v>
      </c>
      <c r="G1298" s="166">
        <v>50.813969071787625</v>
      </c>
    </row>
    <row r="1299" spans="1:7" x14ac:dyDescent="0.25">
      <c r="A1299">
        <v>4</v>
      </c>
      <c r="B1299">
        <v>0.08</v>
      </c>
      <c r="C1299">
        <v>0.17</v>
      </c>
      <c r="D1299">
        <v>0.75147374871379102</v>
      </c>
      <c r="E1299">
        <v>0.30878898089922446</v>
      </c>
      <c r="F1299">
        <v>9.5691261526863997E-2</v>
      </c>
      <c r="G1299" s="166">
        <v>50.045957160695281</v>
      </c>
    </row>
    <row r="1300" spans="1:7" x14ac:dyDescent="0.25">
      <c r="A1300">
        <v>3</v>
      </c>
      <c r="B1300">
        <v>0.08</v>
      </c>
      <c r="C1300">
        <v>0.17</v>
      </c>
      <c r="D1300">
        <v>0.58004731750410399</v>
      </c>
      <c r="E1300">
        <v>0.23834794010035137</v>
      </c>
      <c r="F1300">
        <v>7.386214043037867E-2</v>
      </c>
      <c r="G1300" s="166">
        <v>48.862503146943673</v>
      </c>
    </row>
    <row r="1301" spans="1:7" x14ac:dyDescent="0.25">
      <c r="A1301">
        <v>2</v>
      </c>
      <c r="B1301">
        <v>0.08</v>
      </c>
      <c r="C1301">
        <v>0.17</v>
      </c>
      <c r="D1301">
        <v>0.40691775223144994</v>
      </c>
      <c r="E1301">
        <v>0.16720706243753128</v>
      </c>
      <c r="F1301">
        <v>5.1816145428033533E-2</v>
      </c>
      <c r="G1301" s="166">
        <v>46.813518334330666</v>
      </c>
    </row>
    <row r="1302" spans="1:7" x14ac:dyDescent="0.25">
      <c r="A1302">
        <v>1</v>
      </c>
      <c r="B1302">
        <v>0.08</v>
      </c>
      <c r="C1302">
        <v>0.17</v>
      </c>
      <c r="D1302">
        <v>0.22843609704900819</v>
      </c>
      <c r="E1302">
        <v>9.3866951079917424E-2</v>
      </c>
      <c r="F1302">
        <v>2.9088625307679444E-2</v>
      </c>
      <c r="G1302" s="166">
        <v>42.412444759107515</v>
      </c>
    </row>
    <row r="1303" spans="1:7" x14ac:dyDescent="0.25">
      <c r="A1303">
        <v>50</v>
      </c>
      <c r="B1303">
        <v>7.4999999999999997E-2</v>
      </c>
      <c r="C1303">
        <v>0.17</v>
      </c>
      <c r="D1303">
        <v>2.8389282727937055</v>
      </c>
      <c r="E1303">
        <v>1.1665474272419862</v>
      </c>
      <c r="F1303">
        <v>0.36150381603200404</v>
      </c>
      <c r="G1303" s="166">
        <v>70.711578584194783</v>
      </c>
    </row>
    <row r="1304" spans="1:7" x14ac:dyDescent="0.25">
      <c r="A1304">
        <v>49</v>
      </c>
      <c r="B1304">
        <v>7.4999999999999997E-2</v>
      </c>
      <c r="C1304">
        <v>0.17</v>
      </c>
      <c r="D1304">
        <v>2.8313247664000496</v>
      </c>
      <c r="E1304">
        <v>1.1634230612949705</v>
      </c>
      <c r="F1304">
        <v>0.36053559975022198</v>
      </c>
      <c r="G1304" s="166">
        <v>70.47768069815362</v>
      </c>
    </row>
    <row r="1305" spans="1:7" x14ac:dyDescent="0.25">
      <c r="A1305">
        <v>48</v>
      </c>
      <c r="B1305">
        <v>7.4999999999999997E-2</v>
      </c>
      <c r="C1305">
        <v>0.17</v>
      </c>
      <c r="D1305">
        <v>2.8237212600063946</v>
      </c>
      <c r="E1305">
        <v>1.1602986953479548</v>
      </c>
      <c r="F1305">
        <v>0.35956738346843997</v>
      </c>
      <c r="G1305" s="166">
        <v>70.242523166482982</v>
      </c>
    </row>
    <row r="1306" spans="1:7" x14ac:dyDescent="0.25">
      <c r="A1306">
        <v>47</v>
      </c>
      <c r="B1306">
        <v>7.4999999999999997E-2</v>
      </c>
      <c r="C1306">
        <v>0.17</v>
      </c>
      <c r="D1306">
        <v>2.815313997189723</v>
      </c>
      <c r="E1306">
        <v>1.1568440568835303</v>
      </c>
      <c r="F1306">
        <v>0.35849681834718039</v>
      </c>
      <c r="G1306" s="166">
        <v>69.99242029047862</v>
      </c>
    </row>
    <row r="1307" spans="1:7" x14ac:dyDescent="0.25">
      <c r="A1307">
        <v>46</v>
      </c>
      <c r="B1307">
        <v>7.4999999999999997E-2</v>
      </c>
      <c r="C1307">
        <v>0.17</v>
      </c>
      <c r="D1307">
        <v>2.8060378774464958</v>
      </c>
      <c r="E1307">
        <v>1.1530323953755763</v>
      </c>
      <c r="F1307">
        <v>0.3573156146100932</v>
      </c>
      <c r="G1307" s="166">
        <v>69.725905039244225</v>
      </c>
    </row>
    <row r="1308" spans="1:7" x14ac:dyDescent="0.25">
      <c r="A1308">
        <v>45</v>
      </c>
      <c r="B1308">
        <v>7.4999999999999997E-2</v>
      </c>
      <c r="C1308">
        <v>0.17</v>
      </c>
      <c r="D1308">
        <v>2.7967617577032686</v>
      </c>
      <c r="E1308">
        <v>1.1492207338676224</v>
      </c>
      <c r="F1308">
        <v>0.35613441087300601</v>
      </c>
      <c r="G1308" s="166">
        <v>69.457621866679389</v>
      </c>
    </row>
    <row r="1309" spans="1:7" x14ac:dyDescent="0.25">
      <c r="A1309">
        <v>44</v>
      </c>
      <c r="B1309">
        <v>7.4999999999999997E-2</v>
      </c>
      <c r="C1309">
        <v>0.17</v>
      </c>
      <c r="D1309">
        <v>2.7874856379600419</v>
      </c>
      <c r="E1309">
        <v>1.1454090723596684</v>
      </c>
      <c r="F1309">
        <v>0.35495320713591882</v>
      </c>
      <c r="G1309" s="166">
        <v>69.187553123060837</v>
      </c>
    </row>
    <row r="1310" spans="1:7" x14ac:dyDescent="0.25">
      <c r="A1310">
        <v>43</v>
      </c>
      <c r="B1310">
        <v>7.4999999999999997E-2</v>
      </c>
      <c r="C1310">
        <v>0.17</v>
      </c>
      <c r="D1310">
        <v>2.7782095182168147</v>
      </c>
      <c r="E1310">
        <v>1.1415974108517142</v>
      </c>
      <c r="F1310">
        <v>0.35377200339883164</v>
      </c>
      <c r="G1310" s="166">
        <v>68.915680922943963</v>
      </c>
    </row>
    <row r="1311" spans="1:7" x14ac:dyDescent="0.25">
      <c r="A1311">
        <v>42</v>
      </c>
      <c r="B1311">
        <v>7.4999999999999997E-2</v>
      </c>
      <c r="C1311">
        <v>0.17</v>
      </c>
      <c r="D1311">
        <v>2.7681846993704724</v>
      </c>
      <c r="E1311">
        <v>1.1374781004958174</v>
      </c>
      <c r="F1311">
        <v>0.35249546171839807</v>
      </c>
      <c r="G1311" s="166">
        <v>68.630748843557811</v>
      </c>
    </row>
    <row r="1312" spans="1:7" x14ac:dyDescent="0.25">
      <c r="A1312">
        <v>41</v>
      </c>
      <c r="B1312">
        <v>7.4999999999999997E-2</v>
      </c>
      <c r="C1312">
        <v>0.17</v>
      </c>
      <c r="D1312">
        <v>2.7570359622031146</v>
      </c>
      <c r="E1312">
        <v>1.1328969595123646</v>
      </c>
      <c r="F1312">
        <v>0.35107580238125974</v>
      </c>
      <c r="G1312" s="166">
        <v>68.326685233609325</v>
      </c>
    </row>
    <row r="1313" spans="1:7" x14ac:dyDescent="0.25">
      <c r="A1313">
        <v>40</v>
      </c>
      <c r="B1313">
        <v>7.4999999999999997E-2</v>
      </c>
      <c r="C1313">
        <v>0.17</v>
      </c>
      <c r="D1313">
        <v>2.7458872250357569</v>
      </c>
      <c r="E1313">
        <v>1.1283158185289115</v>
      </c>
      <c r="F1313">
        <v>0.34965614304412135</v>
      </c>
      <c r="G1313" s="166">
        <v>68.020152530801852</v>
      </c>
    </row>
    <row r="1314" spans="1:7" x14ac:dyDescent="0.25">
      <c r="A1314">
        <v>39</v>
      </c>
      <c r="B1314">
        <v>7.4999999999999997E-2</v>
      </c>
      <c r="C1314">
        <v>0.17</v>
      </c>
      <c r="D1314">
        <v>2.7347384878683991</v>
      </c>
      <c r="E1314">
        <v>1.1237346775454589</v>
      </c>
      <c r="F1314">
        <v>0.34823648370698301</v>
      </c>
      <c r="G1314" s="166">
        <v>67.71112053780486</v>
      </c>
    </row>
    <row r="1315" spans="1:7" x14ac:dyDescent="0.25">
      <c r="A1315">
        <v>38</v>
      </c>
      <c r="B1315">
        <v>7.4999999999999997E-2</v>
      </c>
      <c r="C1315">
        <v>0.17</v>
      </c>
      <c r="D1315">
        <v>2.723340582695315</v>
      </c>
      <c r="E1315">
        <v>1.1190511506374243</v>
      </c>
      <c r="F1315">
        <v>0.34678509578206512</v>
      </c>
      <c r="G1315" s="166">
        <v>67.396302752377665</v>
      </c>
    </row>
    <row r="1316" spans="1:7" x14ac:dyDescent="0.25">
      <c r="A1316">
        <v>37</v>
      </c>
      <c r="B1316">
        <v>7.4999999999999997E-2</v>
      </c>
      <c r="C1316">
        <v>0.17</v>
      </c>
      <c r="D1316">
        <v>2.7101094573911162</v>
      </c>
      <c r="E1316">
        <v>1.1136143330428956</v>
      </c>
      <c r="F1316">
        <v>0.34510026903469593</v>
      </c>
      <c r="G1316" s="166">
        <v>67.05455061635989</v>
      </c>
    </row>
    <row r="1317" spans="1:7" x14ac:dyDescent="0.25">
      <c r="A1317">
        <v>36</v>
      </c>
      <c r="B1317">
        <v>7.4999999999999997E-2</v>
      </c>
      <c r="C1317">
        <v>0.17</v>
      </c>
      <c r="D1317">
        <v>2.696878332086917</v>
      </c>
      <c r="E1317">
        <v>1.1081775154483668</v>
      </c>
      <c r="F1317">
        <v>0.34341544228732668</v>
      </c>
      <c r="G1317" s="166">
        <v>66.70944514750478</v>
      </c>
    </row>
    <row r="1318" spans="1:7" x14ac:dyDescent="0.25">
      <c r="A1318">
        <v>35</v>
      </c>
      <c r="B1318">
        <v>7.4999999999999997E-2</v>
      </c>
      <c r="C1318">
        <v>0.17</v>
      </c>
      <c r="D1318">
        <v>2.6836472067827182</v>
      </c>
      <c r="E1318">
        <v>1.1027406978538383</v>
      </c>
      <c r="F1318">
        <v>0.34173061553995748</v>
      </c>
      <c r="G1318" s="166">
        <v>66.36093674722855</v>
      </c>
    </row>
    <row r="1319" spans="1:7" x14ac:dyDescent="0.25">
      <c r="A1319">
        <v>34</v>
      </c>
      <c r="B1319">
        <v>7.4999999999999997E-2</v>
      </c>
      <c r="C1319">
        <v>0.17</v>
      </c>
      <c r="D1319">
        <v>2.6693356482416659</v>
      </c>
      <c r="E1319">
        <v>1.0968599181399294</v>
      </c>
      <c r="F1319">
        <v>0.33990820844516162</v>
      </c>
      <c r="G1319" s="166">
        <v>65.996735612649388</v>
      </c>
    </row>
    <row r="1320" spans="1:7" x14ac:dyDescent="0.25">
      <c r="A1320">
        <v>33</v>
      </c>
      <c r="B1320">
        <v>7.4999999999999997E-2</v>
      </c>
      <c r="C1320">
        <v>0.17</v>
      </c>
      <c r="D1320">
        <v>2.6538021706655686</v>
      </c>
      <c r="E1320">
        <v>1.0904770382073252</v>
      </c>
      <c r="F1320">
        <v>0.33793020446604705</v>
      </c>
      <c r="G1320" s="166">
        <v>65.614509981718456</v>
      </c>
    </row>
    <row r="1321" spans="1:7" x14ac:dyDescent="0.25">
      <c r="A1321">
        <v>32</v>
      </c>
      <c r="B1321">
        <v>7.4999999999999997E-2</v>
      </c>
      <c r="C1321">
        <v>0.17</v>
      </c>
      <c r="D1321">
        <v>2.6382686930894712</v>
      </c>
      <c r="E1321">
        <v>1.0840941582747212</v>
      </c>
      <c r="F1321">
        <v>0.33595220048693247</v>
      </c>
      <c r="G1321" s="166">
        <v>65.227783449660507</v>
      </c>
    </row>
    <row r="1322" spans="1:7" x14ac:dyDescent="0.25">
      <c r="A1322">
        <v>31</v>
      </c>
      <c r="B1322">
        <v>7.4999999999999997E-2</v>
      </c>
      <c r="C1322">
        <v>0.17</v>
      </c>
      <c r="D1322">
        <v>2.6219167380441695</v>
      </c>
      <c r="E1322">
        <v>1.0773749567819333</v>
      </c>
      <c r="F1322">
        <v>0.33386997311785449</v>
      </c>
      <c r="G1322" s="166">
        <v>64.828636156474701</v>
      </c>
    </row>
    <row r="1323" spans="1:7" x14ac:dyDescent="0.25">
      <c r="A1323">
        <v>30</v>
      </c>
      <c r="B1323">
        <v>7.4999999999999997E-2</v>
      </c>
      <c r="C1323">
        <v>0.17</v>
      </c>
      <c r="D1323">
        <v>2.6038503056400155</v>
      </c>
      <c r="E1323">
        <v>1.0699512573378585</v>
      </c>
      <c r="F1323">
        <v>0.33156942740883633</v>
      </c>
      <c r="G1323" s="166">
        <v>64.407671386642093</v>
      </c>
    </row>
    <row r="1324" spans="1:7" x14ac:dyDescent="0.25">
      <c r="A1324">
        <v>29</v>
      </c>
      <c r="B1324">
        <v>7.4999999999999997E-2</v>
      </c>
      <c r="C1324">
        <v>0.17</v>
      </c>
      <c r="D1324">
        <v>2.5857838732358616</v>
      </c>
      <c r="E1324">
        <v>1.0625275578937834</v>
      </c>
      <c r="F1324">
        <v>0.32926888169981816</v>
      </c>
      <c r="G1324" s="166">
        <v>63.980824198222699</v>
      </c>
    </row>
    <row r="1325" spans="1:7" x14ac:dyDescent="0.25">
      <c r="A1325">
        <v>28</v>
      </c>
      <c r="B1325">
        <v>7.4999999999999997E-2</v>
      </c>
      <c r="C1325">
        <v>0.17</v>
      </c>
      <c r="D1325">
        <v>2.5660890328520374</v>
      </c>
      <c r="E1325">
        <v>1.0544347273704247</v>
      </c>
      <c r="F1325">
        <v>0.32676097756461181</v>
      </c>
      <c r="G1325" s="166">
        <v>63.534949814475212</v>
      </c>
    </row>
    <row r="1326" spans="1:7" x14ac:dyDescent="0.25">
      <c r="A1326">
        <v>27</v>
      </c>
      <c r="B1326">
        <v>7.4999999999999997E-2</v>
      </c>
      <c r="C1326">
        <v>0.17</v>
      </c>
      <c r="D1326">
        <v>2.5452479406561035</v>
      </c>
      <c r="E1326">
        <v>1.0458708891378528</v>
      </c>
      <c r="F1326">
        <v>0.32410711186771946</v>
      </c>
      <c r="G1326" s="166">
        <v>63.072728137188882</v>
      </c>
    </row>
    <row r="1327" spans="1:7" x14ac:dyDescent="0.25">
      <c r="A1327">
        <v>26</v>
      </c>
      <c r="B1327">
        <v>7.4999999999999997E-2</v>
      </c>
      <c r="C1327">
        <v>0.17</v>
      </c>
      <c r="D1327">
        <v>2.5238367839828411</v>
      </c>
      <c r="E1327">
        <v>1.0370728050260305</v>
      </c>
      <c r="F1327">
        <v>0.32138065522659182</v>
      </c>
      <c r="G1327" s="166">
        <v>62.599268658088292</v>
      </c>
    </row>
    <row r="1328" spans="1:7" x14ac:dyDescent="0.25">
      <c r="A1328">
        <v>25</v>
      </c>
      <c r="B1328">
        <v>7.4999999999999997E-2</v>
      </c>
      <c r="C1328">
        <v>0.17</v>
      </c>
      <c r="D1328">
        <v>2.4999677408437302</v>
      </c>
      <c r="E1328">
        <v>1.027264747833639</v>
      </c>
      <c r="F1328">
        <v>0.3183412159203885</v>
      </c>
      <c r="G1328" s="166">
        <v>62.101535232946979</v>
      </c>
    </row>
    <row r="1329" spans="1:7" x14ac:dyDescent="0.25">
      <c r="A1329">
        <v>24</v>
      </c>
      <c r="B1329">
        <v>7.4999999999999997E-2</v>
      </c>
      <c r="C1329">
        <v>0.17</v>
      </c>
      <c r="D1329">
        <v>2.4758098502018591</v>
      </c>
      <c r="E1329">
        <v>1.017337999966869</v>
      </c>
      <c r="F1329">
        <v>0.31526499531347402</v>
      </c>
      <c r="G1329" s="166">
        <v>61.593990341971534</v>
      </c>
    </row>
    <row r="1330" spans="1:7" x14ac:dyDescent="0.25">
      <c r="A1330">
        <v>23</v>
      </c>
      <c r="B1330">
        <v>7.4999999999999997E-2</v>
      </c>
      <c r="C1330">
        <v>0.17</v>
      </c>
      <c r="D1330">
        <v>2.4485460134081016</v>
      </c>
      <c r="E1330">
        <v>1.0061349840353655</v>
      </c>
      <c r="F1330">
        <v>0.31179326933326168</v>
      </c>
      <c r="G1330" s="166">
        <v>61.061769239881812</v>
      </c>
    </row>
    <row r="1331" spans="1:7" x14ac:dyDescent="0.25">
      <c r="A1331">
        <v>22</v>
      </c>
      <c r="B1331">
        <v>7.4999999999999997E-2</v>
      </c>
      <c r="C1331">
        <v>0.17</v>
      </c>
      <c r="D1331">
        <v>2.4205992769283564</v>
      </c>
      <c r="E1331">
        <v>0.99465135697346219</v>
      </c>
      <c r="F1331">
        <v>0.30823458418440208</v>
      </c>
      <c r="G1331" s="166">
        <v>60.515275707304369</v>
      </c>
    </row>
    <row r="1332" spans="1:7" x14ac:dyDescent="0.25">
      <c r="A1332">
        <v>21</v>
      </c>
      <c r="B1332">
        <v>7.4999999999999997E-2</v>
      </c>
      <c r="C1332">
        <v>0.17</v>
      </c>
      <c r="D1332">
        <v>2.3897631548003218</v>
      </c>
      <c r="E1332">
        <v>0.98198044898353276</v>
      </c>
      <c r="F1332">
        <v>0.30430797007169552</v>
      </c>
      <c r="G1332" s="166">
        <v>59.945536789025326</v>
      </c>
    </row>
    <row r="1333" spans="1:7" x14ac:dyDescent="0.25">
      <c r="A1333">
        <v>20</v>
      </c>
      <c r="B1333">
        <v>7.4999999999999997E-2</v>
      </c>
      <c r="C1333">
        <v>0.17</v>
      </c>
      <c r="D1333">
        <v>2.3569476640714329</v>
      </c>
      <c r="E1333">
        <v>0.96849619626382688</v>
      </c>
      <c r="F1333">
        <v>0.30012930686377226</v>
      </c>
      <c r="G1333" s="166">
        <v>59.356894302598306</v>
      </c>
    </row>
    <row r="1334" spans="1:7" x14ac:dyDescent="0.25">
      <c r="A1334">
        <v>19</v>
      </c>
      <c r="B1334">
        <v>7.4999999999999997E-2</v>
      </c>
      <c r="C1334">
        <v>0.17</v>
      </c>
      <c r="D1334">
        <v>2.3197779269153522</v>
      </c>
      <c r="E1334">
        <v>0.95322273491356269</v>
      </c>
      <c r="F1334">
        <v>0.29539618206044399</v>
      </c>
      <c r="G1334" s="166">
        <v>58.601268484663507</v>
      </c>
    </row>
    <row r="1335" spans="1:7" x14ac:dyDescent="0.25">
      <c r="A1335">
        <v>18</v>
      </c>
      <c r="B1335">
        <v>7.4999999999999997E-2</v>
      </c>
      <c r="C1335">
        <v>0.17</v>
      </c>
      <c r="D1335">
        <v>2.2780518224829693</v>
      </c>
      <c r="E1335">
        <v>0.93607701121180587</v>
      </c>
      <c r="F1335">
        <v>0.29008285797085281</v>
      </c>
      <c r="G1335" s="166">
        <v>57.739953111776096</v>
      </c>
    </row>
    <row r="1336" spans="1:7" x14ac:dyDescent="0.25">
      <c r="A1336">
        <v>17</v>
      </c>
      <c r="B1336">
        <v>7.4999999999999997E-2</v>
      </c>
      <c r="C1336">
        <v>0.17</v>
      </c>
      <c r="D1336">
        <v>2.2312345166220622</v>
      </c>
      <c r="E1336">
        <v>0.91683925581452064</v>
      </c>
      <c r="F1336">
        <v>0.28412122981446386</v>
      </c>
      <c r="G1336" s="166">
        <v>56.874129990777639</v>
      </c>
    </row>
    <row r="1337" spans="1:7" x14ac:dyDescent="0.25">
      <c r="A1337">
        <v>16</v>
      </c>
      <c r="B1337">
        <v>7.4999999999999997E-2</v>
      </c>
      <c r="C1337">
        <v>0.17</v>
      </c>
      <c r="D1337">
        <v>2.1778285270745159</v>
      </c>
      <c r="E1337">
        <v>0.89489413648796068</v>
      </c>
      <c r="F1337">
        <v>0.2773206110015749</v>
      </c>
      <c r="G1337" s="166">
        <v>56.016665508818107</v>
      </c>
    </row>
    <row r="1338" spans="1:7" x14ac:dyDescent="0.25">
      <c r="A1338">
        <v>15</v>
      </c>
      <c r="B1338">
        <v>7.4999999999999997E-2</v>
      </c>
      <c r="C1338">
        <v>0.17</v>
      </c>
      <c r="D1338">
        <v>2.1179705174099115</v>
      </c>
      <c r="E1338">
        <v>0.87029780982368921</v>
      </c>
      <c r="F1338">
        <v>0.26969840401550654</v>
      </c>
      <c r="G1338" s="166">
        <v>55.170226893244994</v>
      </c>
    </row>
    <row r="1339" spans="1:7" x14ac:dyDescent="0.25">
      <c r="A1339">
        <v>14</v>
      </c>
      <c r="B1339">
        <v>7.4999999999999997E-2</v>
      </c>
      <c r="C1339">
        <v>0.17</v>
      </c>
      <c r="D1339">
        <v>2.0494208136458805</v>
      </c>
      <c r="E1339">
        <v>0.84212996869488255</v>
      </c>
      <c r="F1339">
        <v>0.26096941296066234</v>
      </c>
      <c r="G1339" s="166">
        <v>54.361438606913204</v>
      </c>
    </row>
    <row r="1340" spans="1:7" x14ac:dyDescent="0.25">
      <c r="A1340">
        <v>13</v>
      </c>
      <c r="B1340">
        <v>7.4999999999999997E-2</v>
      </c>
      <c r="C1340">
        <v>0.17</v>
      </c>
      <c r="D1340">
        <v>1.9711923820734403</v>
      </c>
      <c r="E1340">
        <v>0.80998502989436738</v>
      </c>
      <c r="F1340">
        <v>0.25100795081079047</v>
      </c>
      <c r="G1340" s="166">
        <v>53.61117203546705</v>
      </c>
    </row>
    <row r="1341" spans="1:7" x14ac:dyDescent="0.25">
      <c r="A1341">
        <v>12</v>
      </c>
      <c r="B1341">
        <v>7.4999999999999997E-2</v>
      </c>
      <c r="C1341">
        <v>0.17</v>
      </c>
      <c r="D1341">
        <v>1.8808339980750024</v>
      </c>
      <c r="E1341">
        <v>0.77285575776964655</v>
      </c>
      <c r="F1341">
        <v>0.23950188320811172</v>
      </c>
      <c r="G1341" s="166">
        <v>52.967392449912182</v>
      </c>
    </row>
    <row r="1342" spans="1:7" x14ac:dyDescent="0.25">
      <c r="A1342">
        <v>11</v>
      </c>
      <c r="B1342">
        <v>7.4999999999999997E-2</v>
      </c>
      <c r="C1342">
        <v>0.17</v>
      </c>
      <c r="D1342">
        <v>1.77555436334217</v>
      </c>
      <c r="E1342">
        <v>0.72959517657937067</v>
      </c>
      <c r="F1342">
        <v>0.22609577144716828</v>
      </c>
      <c r="G1342" s="166">
        <v>52.503654117281428</v>
      </c>
    </row>
    <row r="1343" spans="1:7" x14ac:dyDescent="0.25">
      <c r="A1343">
        <v>10</v>
      </c>
      <c r="B1343">
        <v>7.4999999999999997E-2</v>
      </c>
      <c r="C1343">
        <v>0.17</v>
      </c>
      <c r="D1343">
        <v>1.650999622044194</v>
      </c>
      <c r="E1343">
        <v>0.67841423819343516</v>
      </c>
      <c r="F1343">
        <v>0.21023520367037568</v>
      </c>
      <c r="G1343" s="166">
        <v>52.359544788003312</v>
      </c>
    </row>
    <row r="1344" spans="1:7" x14ac:dyDescent="0.25">
      <c r="A1344">
        <v>9</v>
      </c>
      <c r="B1344">
        <v>7.4999999999999997E-2</v>
      </c>
      <c r="C1344">
        <v>0.17</v>
      </c>
      <c r="D1344">
        <v>1.5021771542429432</v>
      </c>
      <c r="E1344">
        <v>0.61726141915496413</v>
      </c>
      <c r="F1344">
        <v>0.19128442899352574</v>
      </c>
      <c r="G1344" s="166">
        <v>52.717350562236795</v>
      </c>
    </row>
    <row r="1345" spans="1:7" x14ac:dyDescent="0.25">
      <c r="A1345">
        <v>8</v>
      </c>
      <c r="B1345">
        <v>7.4999999999999997E-2</v>
      </c>
      <c r="C1345">
        <v>0.17</v>
      </c>
      <c r="D1345">
        <v>1.3433657166958881</v>
      </c>
      <c r="E1345">
        <v>0.55200402055756714</v>
      </c>
      <c r="F1345">
        <v>0.17106167759364896</v>
      </c>
      <c r="G1345" s="166">
        <v>52.451720131638545</v>
      </c>
    </row>
    <row r="1346" spans="1:7" x14ac:dyDescent="0.25">
      <c r="A1346">
        <v>7</v>
      </c>
      <c r="B1346">
        <v>7.4999999999999997E-2</v>
      </c>
      <c r="C1346">
        <v>0.17</v>
      </c>
      <c r="D1346">
        <v>1.1843091404745647</v>
      </c>
      <c r="E1346">
        <v>0.48664589173301875</v>
      </c>
      <c r="F1346">
        <v>0.15080771069352364</v>
      </c>
      <c r="G1346" s="166">
        <v>52.121824078344673</v>
      </c>
    </row>
    <row r="1347" spans="1:7" x14ac:dyDescent="0.25">
      <c r="A1347">
        <v>6</v>
      </c>
      <c r="B1347">
        <v>7.4999999999999997E-2</v>
      </c>
      <c r="C1347">
        <v>0.17</v>
      </c>
      <c r="D1347">
        <v>1.0251938155255176</v>
      </c>
      <c r="E1347">
        <v>0.4212636223981811</v>
      </c>
      <c r="F1347">
        <v>0.13054626284029966</v>
      </c>
      <c r="G1347" s="166">
        <v>51.69147102592818</v>
      </c>
    </row>
    <row r="1348" spans="1:7" x14ac:dyDescent="0.25">
      <c r="A1348">
        <v>5</v>
      </c>
      <c r="B1348">
        <v>7.4999999999999997E-2</v>
      </c>
      <c r="C1348">
        <v>0.17</v>
      </c>
      <c r="D1348">
        <v>0.86578677277490268</v>
      </c>
      <c r="E1348">
        <v>0.35576148295103349</v>
      </c>
      <c r="F1348">
        <v>0.11024766818788323</v>
      </c>
      <c r="G1348" s="166">
        <v>51.114387276248259</v>
      </c>
    </row>
    <row r="1349" spans="1:7" x14ac:dyDescent="0.25">
      <c r="A1349">
        <v>4</v>
      </c>
      <c r="B1349">
        <v>7.4999999999999997E-2</v>
      </c>
      <c r="C1349">
        <v>0.17</v>
      </c>
      <c r="D1349">
        <v>0.70602113532798894</v>
      </c>
      <c r="E1349">
        <v>0.29011199292641665</v>
      </c>
      <c r="F1349">
        <v>8.9903410757592797E-2</v>
      </c>
      <c r="G1349" s="166">
        <v>50.293981826689148</v>
      </c>
    </row>
    <row r="1350" spans="1:7" x14ac:dyDescent="0.25">
      <c r="A1350">
        <v>3</v>
      </c>
      <c r="B1350">
        <v>7.4999999999999997E-2</v>
      </c>
      <c r="C1350">
        <v>0.17</v>
      </c>
      <c r="D1350">
        <v>0.54559766116086761</v>
      </c>
      <c r="E1350">
        <v>0.22419219042477892</v>
      </c>
      <c r="F1350">
        <v>6.9475385629837072E-2</v>
      </c>
      <c r="G1350" s="166">
        <v>49.032732640957889</v>
      </c>
    </row>
    <row r="1351" spans="1:7" x14ac:dyDescent="0.25">
      <c r="A1351">
        <v>2</v>
      </c>
      <c r="B1351">
        <v>7.4999999999999997E-2</v>
      </c>
      <c r="C1351">
        <v>0.17</v>
      </c>
      <c r="D1351">
        <v>0.38347647666473755</v>
      </c>
      <c r="E1351">
        <v>0.15757477973223102</v>
      </c>
      <c r="F1351">
        <v>4.8831177244358641E-2</v>
      </c>
      <c r="G1351" s="166">
        <v>46.862846103960059</v>
      </c>
    </row>
    <row r="1352" spans="1:7" x14ac:dyDescent="0.25">
      <c r="A1352">
        <v>1</v>
      </c>
      <c r="B1352">
        <v>7.4999999999999997E-2</v>
      </c>
      <c r="C1352">
        <v>0.17</v>
      </c>
      <c r="D1352">
        <v>0.21601540128117497</v>
      </c>
      <c r="E1352">
        <v>8.876314805982112E-2</v>
      </c>
      <c r="F1352">
        <v>2.7506997141559675E-2</v>
      </c>
      <c r="G1352" s="166">
        <v>42.262436250373177</v>
      </c>
    </row>
    <row r="1353" spans="1:7" x14ac:dyDescent="0.25">
      <c r="A1353">
        <v>50</v>
      </c>
      <c r="B1353">
        <v>6.9999999999999993E-2</v>
      </c>
      <c r="C1353">
        <v>0.17</v>
      </c>
      <c r="D1353">
        <v>2.8341330575656527</v>
      </c>
      <c r="E1353">
        <v>1.1645770195916896</v>
      </c>
      <c r="F1353">
        <v>0.36089320229433114</v>
      </c>
      <c r="G1353" s="166">
        <v>70.585903464151443</v>
      </c>
    </row>
    <row r="1354" spans="1:7" x14ac:dyDescent="0.25">
      <c r="A1354">
        <v>49</v>
      </c>
      <c r="B1354">
        <v>6.9999999999999993E-2</v>
      </c>
      <c r="C1354">
        <v>0.17</v>
      </c>
      <c r="D1354">
        <v>2.8266244190703165</v>
      </c>
      <c r="E1354">
        <v>1.1614916359267458</v>
      </c>
      <c r="F1354">
        <v>0.35993706631327033</v>
      </c>
      <c r="G1354" s="166">
        <v>70.353774616418093</v>
      </c>
    </row>
    <row r="1355" spans="1:7" x14ac:dyDescent="0.25">
      <c r="A1355">
        <v>48</v>
      </c>
      <c r="B1355">
        <v>6.9999999999999993E-2</v>
      </c>
      <c r="C1355">
        <v>0.17</v>
      </c>
      <c r="D1355">
        <v>2.8183396613364078</v>
      </c>
      <c r="E1355">
        <v>1.1580873361730561</v>
      </c>
      <c r="F1355">
        <v>0.35888210076010357</v>
      </c>
      <c r="G1355" s="166">
        <v>70.107249624066483</v>
      </c>
    </row>
    <row r="1356" spans="1:7" x14ac:dyDescent="0.25">
      <c r="A1356">
        <v>47</v>
      </c>
      <c r="B1356">
        <v>6.9999999999999993E-2</v>
      </c>
      <c r="C1356">
        <v>0.17</v>
      </c>
      <c r="D1356">
        <v>2.8091923788236528</v>
      </c>
      <c r="E1356">
        <v>1.1543286153262593</v>
      </c>
      <c r="F1356">
        <v>0.35771730291495413</v>
      </c>
      <c r="G1356" s="166">
        <v>69.844518525970898</v>
      </c>
    </row>
    <row r="1357" spans="1:7" x14ac:dyDescent="0.25">
      <c r="A1357">
        <v>46</v>
      </c>
      <c r="B1357">
        <v>6.9999999999999993E-2</v>
      </c>
      <c r="C1357">
        <v>0.17</v>
      </c>
      <c r="D1357">
        <v>2.8000450963108978</v>
      </c>
      <c r="E1357">
        <v>1.1505698944794629</v>
      </c>
      <c r="F1357">
        <v>0.35655250506980479</v>
      </c>
      <c r="G1357" s="166">
        <v>69.580070830108795</v>
      </c>
    </row>
    <row r="1358" spans="1:7" x14ac:dyDescent="0.25">
      <c r="A1358">
        <v>45</v>
      </c>
      <c r="B1358">
        <v>6.9999999999999993E-2</v>
      </c>
      <c r="C1358">
        <v>0.17</v>
      </c>
      <c r="D1358">
        <v>2.7908978137981424</v>
      </c>
      <c r="E1358">
        <v>1.1468111736326663</v>
      </c>
      <c r="F1358">
        <v>0.3553877072246554</v>
      </c>
      <c r="G1358" s="166">
        <v>69.313889657820624</v>
      </c>
    </row>
    <row r="1359" spans="1:7" x14ac:dyDescent="0.25">
      <c r="A1359">
        <v>44</v>
      </c>
      <c r="B1359">
        <v>6.9999999999999993E-2</v>
      </c>
      <c r="C1359">
        <v>0.17</v>
      </c>
      <c r="D1359">
        <v>2.7817505312853874</v>
      </c>
      <c r="E1359">
        <v>1.1430524527858694</v>
      </c>
      <c r="F1359">
        <v>0.35422290937950596</v>
      </c>
      <c r="G1359" s="166">
        <v>69.045957908437131</v>
      </c>
    </row>
    <row r="1360" spans="1:7" x14ac:dyDescent="0.25">
      <c r="A1360">
        <v>43</v>
      </c>
      <c r="B1360">
        <v>6.9999999999999993E-2</v>
      </c>
      <c r="C1360">
        <v>0.17</v>
      </c>
      <c r="D1360">
        <v>2.771909221920466</v>
      </c>
      <c r="E1360">
        <v>1.1390085485314503</v>
      </c>
      <c r="F1360">
        <v>0.35296973545318144</v>
      </c>
      <c r="G1360" s="166">
        <v>68.7658882285766</v>
      </c>
    </row>
    <row r="1361" spans="1:7" x14ac:dyDescent="0.25">
      <c r="A1361">
        <v>42</v>
      </c>
      <c r="B1361">
        <v>6.9999999999999993E-2</v>
      </c>
      <c r="C1361">
        <v>0.17</v>
      </c>
      <c r="D1361">
        <v>2.7609312121800174</v>
      </c>
      <c r="E1361">
        <v>1.1344975613600994</v>
      </c>
      <c r="F1361">
        <v>0.35157181622723943</v>
      </c>
      <c r="G1361" s="166">
        <v>68.466650451243794</v>
      </c>
    </row>
    <row r="1362" spans="1:7" x14ac:dyDescent="0.25">
      <c r="A1362">
        <v>41</v>
      </c>
      <c r="B1362">
        <v>6.9999999999999993E-2</v>
      </c>
      <c r="C1362">
        <v>0.17</v>
      </c>
      <c r="D1362">
        <v>2.7499532024395688</v>
      </c>
      <c r="E1362">
        <v>1.1299865741887485</v>
      </c>
      <c r="F1362">
        <v>0.35017389700129742</v>
      </c>
      <c r="G1362" s="166">
        <v>68.165023516719984</v>
      </c>
    </row>
    <row r="1363" spans="1:7" x14ac:dyDescent="0.25">
      <c r="A1363">
        <v>40</v>
      </c>
      <c r="B1363">
        <v>6.9999999999999993E-2</v>
      </c>
      <c r="C1363">
        <v>0.17</v>
      </c>
      <c r="D1363">
        <v>2.7389751926991202</v>
      </c>
      <c r="E1363">
        <v>1.1254755870173976</v>
      </c>
      <c r="F1363">
        <v>0.34877597777535541</v>
      </c>
      <c r="G1363" s="166">
        <v>67.860978697263135</v>
      </c>
    </row>
    <row r="1364" spans="1:7" x14ac:dyDescent="0.25">
      <c r="A1364">
        <v>39</v>
      </c>
      <c r="B1364">
        <v>6.9999999999999993E-2</v>
      </c>
      <c r="C1364">
        <v>0.17</v>
      </c>
      <c r="D1364">
        <v>2.7278262159852944</v>
      </c>
      <c r="E1364">
        <v>1.1208943476016178</v>
      </c>
      <c r="F1364">
        <v>0.34735628793481788</v>
      </c>
      <c r="G1364" s="166">
        <v>67.552266207532412</v>
      </c>
    </row>
    <row r="1365" spans="1:7" x14ac:dyDescent="0.25">
      <c r="A1365">
        <v>38</v>
      </c>
      <c r="B1365">
        <v>6.9999999999999993E-2</v>
      </c>
      <c r="C1365">
        <v>0.17</v>
      </c>
      <c r="D1365">
        <v>2.7148167192900701</v>
      </c>
      <c r="E1365">
        <v>1.115548599685066</v>
      </c>
      <c r="F1365">
        <v>0.3456996829599584</v>
      </c>
      <c r="G1365" s="166">
        <v>67.216523978223805</v>
      </c>
    </row>
    <row r="1366" spans="1:7" x14ac:dyDescent="0.25">
      <c r="A1366">
        <v>37</v>
      </c>
      <c r="B1366">
        <v>6.9999999999999993E-2</v>
      </c>
      <c r="C1366">
        <v>0.17</v>
      </c>
      <c r="D1366">
        <v>2.7018072225948457</v>
      </c>
      <c r="E1366">
        <v>1.1102028517685141</v>
      </c>
      <c r="F1366">
        <v>0.34404307798509887</v>
      </c>
      <c r="G1366" s="166">
        <v>66.877548477950384</v>
      </c>
    </row>
    <row r="1367" spans="1:7" x14ac:dyDescent="0.25">
      <c r="A1367">
        <v>36</v>
      </c>
      <c r="B1367">
        <v>6.9999999999999993E-2</v>
      </c>
      <c r="C1367">
        <v>0.17</v>
      </c>
      <c r="D1367">
        <v>2.6887977258996218</v>
      </c>
      <c r="E1367">
        <v>1.1048571038519623</v>
      </c>
      <c r="F1367">
        <v>0.34238647301023944</v>
      </c>
      <c r="G1367" s="166">
        <v>66.535292775073358</v>
      </c>
    </row>
    <row r="1368" spans="1:7" x14ac:dyDescent="0.25">
      <c r="A1368">
        <v>35</v>
      </c>
      <c r="B1368">
        <v>6.9999999999999993E-2</v>
      </c>
      <c r="C1368">
        <v>0.17</v>
      </c>
      <c r="D1368">
        <v>2.6748506790832369</v>
      </c>
      <c r="E1368">
        <v>1.0991261060887585</v>
      </c>
      <c r="F1368">
        <v>0.34061048215664225</v>
      </c>
      <c r="G1368" s="166">
        <v>66.179173639653627</v>
      </c>
    </row>
    <row r="1369" spans="1:7" x14ac:dyDescent="0.25">
      <c r="A1369">
        <v>34</v>
      </c>
      <c r="B1369">
        <v>6.9999999999999993E-2</v>
      </c>
      <c r="C1369">
        <v>0.17</v>
      </c>
      <c r="D1369">
        <v>2.6595999126625691</v>
      </c>
      <c r="E1369">
        <v>1.092859395336679</v>
      </c>
      <c r="F1369">
        <v>0.33866847808724787</v>
      </c>
      <c r="G1369" s="166">
        <v>65.804405675104178</v>
      </c>
    </row>
    <row r="1370" spans="1:7" x14ac:dyDescent="0.25">
      <c r="A1370">
        <v>33</v>
      </c>
      <c r="B1370">
        <v>6.9999999999999993E-2</v>
      </c>
      <c r="C1370">
        <v>0.17</v>
      </c>
      <c r="D1370">
        <v>2.6443491462419013</v>
      </c>
      <c r="E1370">
        <v>1.0865926845845997</v>
      </c>
      <c r="F1370">
        <v>0.33672647401785349</v>
      </c>
      <c r="G1370" s="166">
        <v>65.425314908705815</v>
      </c>
    </row>
    <row r="1371" spans="1:7" x14ac:dyDescent="0.25">
      <c r="A1371">
        <v>32</v>
      </c>
      <c r="B1371">
        <v>6.9999999999999993E-2</v>
      </c>
      <c r="C1371">
        <v>0.17</v>
      </c>
      <c r="D1371">
        <v>2.6284679460626177</v>
      </c>
      <c r="E1371">
        <v>1.0800669215393688</v>
      </c>
      <c r="F1371">
        <v>0.33470419169286553</v>
      </c>
      <c r="G1371" s="166">
        <v>65.035851729193482</v>
      </c>
    </row>
    <row r="1372" spans="1:7" x14ac:dyDescent="0.25">
      <c r="A1372">
        <v>31</v>
      </c>
      <c r="B1372">
        <v>6.9999999999999993E-2</v>
      </c>
      <c r="C1372">
        <v>0.17</v>
      </c>
      <c r="D1372">
        <v>2.6107567441221624</v>
      </c>
      <c r="E1372">
        <v>1.0727891902719036</v>
      </c>
      <c r="F1372">
        <v>0.33244888036663489</v>
      </c>
      <c r="G1372" s="166">
        <v>64.623913279709413</v>
      </c>
    </row>
    <row r="1373" spans="1:7" x14ac:dyDescent="0.25">
      <c r="A1373">
        <v>30</v>
      </c>
      <c r="B1373">
        <v>6.9999999999999993E-2</v>
      </c>
      <c r="C1373">
        <v>0.17</v>
      </c>
      <c r="D1373">
        <v>2.5930455421817067</v>
      </c>
      <c r="E1373">
        <v>1.0655114590044383</v>
      </c>
      <c r="F1373">
        <v>0.3301935690404042</v>
      </c>
      <c r="G1373" s="166">
        <v>64.206347528315547</v>
      </c>
    </row>
    <row r="1374" spans="1:7" x14ac:dyDescent="0.25">
      <c r="A1374">
        <v>29</v>
      </c>
      <c r="B1374">
        <v>6.9999999999999993E-2</v>
      </c>
      <c r="C1374">
        <v>0.17</v>
      </c>
      <c r="D1374">
        <v>2.5739796578814547</v>
      </c>
      <c r="E1374">
        <v>1.0576770735810035</v>
      </c>
      <c r="F1374">
        <v>0.3277657549964153</v>
      </c>
      <c r="G1374" s="166">
        <v>63.772363371441827</v>
      </c>
    </row>
    <row r="1375" spans="1:7" x14ac:dyDescent="0.25">
      <c r="A1375">
        <v>28</v>
      </c>
      <c r="B1375">
        <v>6.9999999999999993E-2</v>
      </c>
      <c r="C1375">
        <v>0.17</v>
      </c>
      <c r="D1375">
        <v>2.5535790976512005</v>
      </c>
      <c r="E1375">
        <v>1.0492942548677011</v>
      </c>
      <c r="F1375">
        <v>0.32516798581601603</v>
      </c>
      <c r="G1375" s="166">
        <v>63.321064886903606</v>
      </c>
    </row>
    <row r="1376" spans="1:7" x14ac:dyDescent="0.25">
      <c r="A1376">
        <v>27</v>
      </c>
      <c r="B1376">
        <v>6.9999999999999993E-2</v>
      </c>
      <c r="C1376">
        <v>0.17</v>
      </c>
      <c r="D1376">
        <v>2.5329189812867807</v>
      </c>
      <c r="E1376">
        <v>1.0408047816314798</v>
      </c>
      <c r="F1376">
        <v>0.32253716524299281</v>
      </c>
      <c r="G1376" s="166">
        <v>62.860888235281067</v>
      </c>
    </row>
    <row r="1377" spans="1:7" x14ac:dyDescent="0.25">
      <c r="A1377">
        <v>26</v>
      </c>
      <c r="B1377">
        <v>6.9999999999999993E-2</v>
      </c>
      <c r="C1377">
        <v>0.17</v>
      </c>
      <c r="D1377">
        <v>2.5095899945586324</v>
      </c>
      <c r="E1377">
        <v>1.031218639667737</v>
      </c>
      <c r="F1377">
        <v>0.31956649570998397</v>
      </c>
      <c r="G1377" s="166">
        <v>62.375942952478788</v>
      </c>
    </row>
    <row r="1378" spans="1:7" x14ac:dyDescent="0.25">
      <c r="A1378">
        <v>25</v>
      </c>
      <c r="B1378">
        <v>6.9999999999999993E-2</v>
      </c>
      <c r="C1378">
        <v>0.17</v>
      </c>
      <c r="D1378">
        <v>2.4862610078304841</v>
      </c>
      <c r="E1378">
        <v>1.0216324977039939</v>
      </c>
      <c r="F1378">
        <v>0.31659582617697513</v>
      </c>
      <c r="G1378" s="166">
        <v>61.881897030579729</v>
      </c>
    </row>
    <row r="1379" spans="1:7" x14ac:dyDescent="0.25">
      <c r="A1379">
        <v>24</v>
      </c>
      <c r="B1379">
        <v>6.9999999999999993E-2</v>
      </c>
      <c r="C1379">
        <v>0.17</v>
      </c>
      <c r="D1379">
        <v>2.4598433816166065</v>
      </c>
      <c r="E1379">
        <v>1.0107771991785006</v>
      </c>
      <c r="F1379">
        <v>0.31323185506916484</v>
      </c>
      <c r="G1379" s="166">
        <v>61.364549202111846</v>
      </c>
    </row>
    <row r="1380" spans="1:7" x14ac:dyDescent="0.25">
      <c r="A1380">
        <v>23</v>
      </c>
      <c r="B1380">
        <v>6.9999999999999993E-2</v>
      </c>
      <c r="C1380">
        <v>0.17</v>
      </c>
      <c r="D1380">
        <v>2.4330365863619323</v>
      </c>
      <c r="E1380">
        <v>0.99976198673490846</v>
      </c>
      <c r="F1380">
        <v>0.30981832790364161</v>
      </c>
      <c r="G1380" s="166">
        <v>60.835358229733338</v>
      </c>
    </row>
    <row r="1381" spans="1:7" x14ac:dyDescent="0.25">
      <c r="A1381">
        <v>22</v>
      </c>
      <c r="B1381">
        <v>6.9999999999999993E-2</v>
      </c>
      <c r="C1381">
        <v>0.17</v>
      </c>
      <c r="D1381">
        <v>2.402989986387813</v>
      </c>
      <c r="E1381">
        <v>0.98741550224177066</v>
      </c>
      <c r="F1381">
        <v>0.30599225006521058</v>
      </c>
      <c r="G1381" s="166">
        <v>60.283147213476248</v>
      </c>
    </row>
    <row r="1382" spans="1:7" x14ac:dyDescent="0.25">
      <c r="A1382">
        <v>21</v>
      </c>
      <c r="B1382">
        <v>6.9999999999999993E-2</v>
      </c>
      <c r="C1382">
        <v>0.17</v>
      </c>
      <c r="D1382">
        <v>2.3715977949571951</v>
      </c>
      <c r="E1382">
        <v>0.97451609914665893</v>
      </c>
      <c r="F1382">
        <v>0.3019948271276427</v>
      </c>
      <c r="G1382" s="166">
        <v>59.714445859304483</v>
      </c>
    </row>
    <row r="1383" spans="1:7" x14ac:dyDescent="0.25">
      <c r="A1383">
        <v>20</v>
      </c>
      <c r="B1383">
        <v>6.9999999999999993E-2</v>
      </c>
      <c r="C1383">
        <v>0.17</v>
      </c>
      <c r="D1383">
        <v>2.3359065602086511</v>
      </c>
      <c r="E1383">
        <v>0.95985017099693803</v>
      </c>
      <c r="F1383">
        <v>0.29744997205534607</v>
      </c>
      <c r="G1383" s="166">
        <v>59.012267820111788</v>
      </c>
    </row>
    <row r="1384" spans="1:7" x14ac:dyDescent="0.25">
      <c r="A1384">
        <v>19</v>
      </c>
      <c r="B1384">
        <v>6.9999999999999993E-2</v>
      </c>
      <c r="C1384">
        <v>0.17</v>
      </c>
      <c r="D1384">
        <v>2.2957787879192941</v>
      </c>
      <c r="E1384">
        <v>0.94336121987629684</v>
      </c>
      <c r="F1384">
        <v>0.29234017659116179</v>
      </c>
      <c r="G1384" s="166">
        <v>58.184616664446345</v>
      </c>
    </row>
    <row r="1385" spans="1:7" x14ac:dyDescent="0.25">
      <c r="A1385">
        <v>18</v>
      </c>
      <c r="B1385">
        <v>6.9999999999999993E-2</v>
      </c>
      <c r="C1385">
        <v>0.17</v>
      </c>
      <c r="D1385">
        <v>2.2508609267861051</v>
      </c>
      <c r="E1385">
        <v>0.92490396759405769</v>
      </c>
      <c r="F1385">
        <v>0.28662042017348227</v>
      </c>
      <c r="G1385" s="166">
        <v>57.353686537933605</v>
      </c>
    </row>
    <row r="1386" spans="1:7" x14ac:dyDescent="0.25">
      <c r="A1386">
        <v>17</v>
      </c>
      <c r="B1386">
        <v>6.9999999999999993E-2</v>
      </c>
      <c r="C1386">
        <v>0.17</v>
      </c>
      <c r="D1386">
        <v>2.1996344269044714</v>
      </c>
      <c r="E1386">
        <v>0.90385442498454138</v>
      </c>
      <c r="F1386">
        <v>0.28009733349790733</v>
      </c>
      <c r="G1386" s="166">
        <v>56.532863555414046</v>
      </c>
    </row>
    <row r="1387" spans="1:7" x14ac:dyDescent="0.25">
      <c r="A1387">
        <v>16</v>
      </c>
      <c r="B1387">
        <v>6.9999999999999993E-2</v>
      </c>
      <c r="C1387">
        <v>0.17</v>
      </c>
      <c r="D1387">
        <v>2.1421406004405235</v>
      </c>
      <c r="E1387">
        <v>0.88022956767956451</v>
      </c>
      <c r="F1387">
        <v>0.27277617717839747</v>
      </c>
      <c r="G1387" s="166">
        <v>55.726059818621742</v>
      </c>
    </row>
    <row r="1388" spans="1:7" x14ac:dyDescent="0.25">
      <c r="A1388">
        <v>15</v>
      </c>
      <c r="B1388">
        <v>6.9999999999999993E-2</v>
      </c>
      <c r="C1388">
        <v>0.17</v>
      </c>
      <c r="D1388">
        <v>2.0765498267204312</v>
      </c>
      <c r="E1388">
        <v>0.85327758404995036</v>
      </c>
      <c r="F1388">
        <v>0.2644239707406591</v>
      </c>
      <c r="G1388" s="166">
        <v>54.956671410620253</v>
      </c>
    </row>
    <row r="1389" spans="1:7" x14ac:dyDescent="0.25">
      <c r="A1389">
        <v>14</v>
      </c>
      <c r="B1389">
        <v>6.9999999999999993E-2</v>
      </c>
      <c r="C1389">
        <v>0.17</v>
      </c>
      <c r="D1389">
        <v>2.0018299423563009</v>
      </c>
      <c r="E1389">
        <v>0.82257434659794559</v>
      </c>
      <c r="F1389">
        <v>0.25490928042954319</v>
      </c>
      <c r="G1389" s="166">
        <v>54.245939214663167</v>
      </c>
    </row>
    <row r="1390" spans="1:7" x14ac:dyDescent="0.25">
      <c r="A1390">
        <v>13</v>
      </c>
      <c r="B1390">
        <v>6.9999999999999993E-2</v>
      </c>
      <c r="C1390">
        <v>0.17</v>
      </c>
      <c r="D1390">
        <v>1.915793271275412</v>
      </c>
      <c r="E1390">
        <v>0.78722091472025013</v>
      </c>
      <c r="F1390">
        <v>0.24395353166600556</v>
      </c>
      <c r="G1390" s="166">
        <v>53.638178947055785</v>
      </c>
    </row>
    <row r="1391" spans="1:7" x14ac:dyDescent="0.25">
      <c r="A1391">
        <v>12</v>
      </c>
      <c r="B1391">
        <v>6.9999999999999993E-2</v>
      </c>
      <c r="C1391">
        <v>0.17</v>
      </c>
      <c r="D1391">
        <v>1.8161368412706154</v>
      </c>
      <c r="E1391">
        <v>0.74627097134044984</v>
      </c>
      <c r="F1391">
        <v>0.23126346827690558</v>
      </c>
      <c r="G1391" s="166">
        <v>53.196766283893133</v>
      </c>
    </row>
    <row r="1392" spans="1:7" x14ac:dyDescent="0.25">
      <c r="A1392">
        <v>11</v>
      </c>
      <c r="B1392">
        <v>6.9999999999999993E-2</v>
      </c>
      <c r="C1392">
        <v>0.17</v>
      </c>
      <c r="D1392">
        <v>1.69871830526461</v>
      </c>
      <c r="E1392">
        <v>0.69802237964442437</v>
      </c>
      <c r="F1392">
        <v>0.21631161153369483</v>
      </c>
      <c r="G1392" s="166">
        <v>53.050071266778737</v>
      </c>
    </row>
    <row r="1393" spans="1:7" x14ac:dyDescent="0.25">
      <c r="A1393">
        <v>10</v>
      </c>
      <c r="B1393">
        <v>6.9999999999999993E-2</v>
      </c>
      <c r="C1393">
        <v>0.17</v>
      </c>
      <c r="D1393">
        <v>1.5593433172193205</v>
      </c>
      <c r="E1393">
        <v>0.64075163586261075</v>
      </c>
      <c r="F1393">
        <v>0.19856386125742417</v>
      </c>
      <c r="G1393" s="166">
        <v>53.365454898556592</v>
      </c>
    </row>
    <row r="1394" spans="1:7" x14ac:dyDescent="0.25">
      <c r="A1394">
        <v>9</v>
      </c>
      <c r="B1394">
        <v>6.9999999999999993E-2</v>
      </c>
      <c r="C1394">
        <v>0.17</v>
      </c>
      <c r="D1394">
        <v>1.4105439955450276</v>
      </c>
      <c r="E1394">
        <v>0.57960832782697569</v>
      </c>
      <c r="F1394">
        <v>0.17961603396508616</v>
      </c>
      <c r="G1394" s="166">
        <v>53.13488182468469</v>
      </c>
    </row>
    <row r="1395" spans="1:7" x14ac:dyDescent="0.25">
      <c r="A1395">
        <v>8</v>
      </c>
      <c r="B1395">
        <v>6.9999999999999993E-2</v>
      </c>
      <c r="C1395">
        <v>0.17</v>
      </c>
      <c r="D1395">
        <v>1.2617446738707354</v>
      </c>
      <c r="E1395">
        <v>0.51846501979134074</v>
      </c>
      <c r="F1395">
        <v>0.16066820667274823</v>
      </c>
      <c r="G1395" s="166">
        <v>52.849925137869498</v>
      </c>
    </row>
    <row r="1396" spans="1:7" x14ac:dyDescent="0.25">
      <c r="A1396">
        <v>7</v>
      </c>
      <c r="B1396">
        <v>6.9999999999999993E-2</v>
      </c>
      <c r="C1396">
        <v>0.17</v>
      </c>
      <c r="D1396">
        <v>1.112700197304308</v>
      </c>
      <c r="E1396">
        <v>0.45722097486445129</v>
      </c>
      <c r="F1396">
        <v>0.14168916181500893</v>
      </c>
      <c r="G1396" s="166">
        <v>52.496661456269472</v>
      </c>
    </row>
    <row r="1397" spans="1:7" x14ac:dyDescent="0.25">
      <c r="A1397">
        <v>6</v>
      </c>
      <c r="B1397">
        <v>6.9999999999999993E-2</v>
      </c>
      <c r="C1397">
        <v>0.17</v>
      </c>
      <c r="D1397">
        <v>0.9636090618988532</v>
      </c>
      <c r="E1397">
        <v>0.39595775729796151</v>
      </c>
      <c r="F1397">
        <v>0.1227041755079834</v>
      </c>
      <c r="G1397" s="166">
        <v>52.035834139921612</v>
      </c>
    </row>
    <row r="1398" spans="1:7" x14ac:dyDescent="0.25">
      <c r="A1398">
        <v>5</v>
      </c>
      <c r="B1398">
        <v>6.9999999999999993E-2</v>
      </c>
      <c r="C1398">
        <v>0.17</v>
      </c>
      <c r="D1398">
        <v>0.81422347716003374</v>
      </c>
      <c r="E1398">
        <v>0.33457354720214949</v>
      </c>
      <c r="F1398">
        <v>0.10368169457361576</v>
      </c>
      <c r="G1398" s="166">
        <v>51.419262151480929</v>
      </c>
    </row>
    <row r="1399" spans="1:7" x14ac:dyDescent="0.25">
      <c r="A1399">
        <v>4</v>
      </c>
      <c r="B1399">
        <v>6.9999999999999993E-2</v>
      </c>
      <c r="C1399">
        <v>0.17</v>
      </c>
      <c r="D1399">
        <v>0.66448929167464688</v>
      </c>
      <c r="E1399">
        <v>0.27304609315475903</v>
      </c>
      <c r="F1399">
        <v>8.461482347223917E-2</v>
      </c>
      <c r="G1399" s="166">
        <v>50.544320226389424</v>
      </c>
    </row>
    <row r="1400" spans="1:7" x14ac:dyDescent="0.25">
      <c r="A1400">
        <v>3</v>
      </c>
      <c r="B1400">
        <v>6.9999999999999993E-2</v>
      </c>
      <c r="C1400">
        <v>0.17</v>
      </c>
      <c r="D1400">
        <v>0.5140945073466251</v>
      </c>
      <c r="E1400">
        <v>0.21124719164330261</v>
      </c>
      <c r="F1400">
        <v>6.5463832949893955E-2</v>
      </c>
      <c r="G1400" s="166">
        <v>49.204424300103241</v>
      </c>
    </row>
    <row r="1401" spans="1:7" x14ac:dyDescent="0.25">
      <c r="A1401">
        <v>2</v>
      </c>
      <c r="B1401">
        <v>6.9999999999999993E-2</v>
      </c>
      <c r="C1401">
        <v>0.17</v>
      </c>
      <c r="D1401">
        <v>0.36205852746583639</v>
      </c>
      <c r="E1401">
        <v>0.14877390449553804</v>
      </c>
      <c r="F1401">
        <v>4.6103855655721587E-2</v>
      </c>
      <c r="G1401" s="166">
        <v>46.908706249470598</v>
      </c>
    </row>
    <row r="1402" spans="1:7" x14ac:dyDescent="0.25">
      <c r="A1402">
        <v>1</v>
      </c>
      <c r="B1402">
        <v>6.9999999999999993E-2</v>
      </c>
      <c r="C1402">
        <v>0.17</v>
      </c>
      <c r="D1402">
        <v>0.20461020250724604</v>
      </c>
      <c r="E1402">
        <v>8.407662412950094E-2</v>
      </c>
      <c r="F1402">
        <v>2.6054680463152902E-2</v>
      </c>
      <c r="G1402" s="166">
        <v>42.116943152308195</v>
      </c>
    </row>
    <row r="1403" spans="1:7" x14ac:dyDescent="0.25">
      <c r="A1403">
        <v>50</v>
      </c>
      <c r="B1403">
        <v>6.4999999999999988E-2</v>
      </c>
      <c r="C1403">
        <v>0.17</v>
      </c>
      <c r="D1403">
        <v>2.8294168319078028</v>
      </c>
      <c r="E1403">
        <v>1.1626390696405824</v>
      </c>
      <c r="F1403">
        <v>0.36029264694077762</v>
      </c>
      <c r="G1403" s="166">
        <v>70.461720027997032</v>
      </c>
    </row>
    <row r="1404" spans="1:7" x14ac:dyDescent="0.25">
      <c r="A1404">
        <v>49</v>
      </c>
      <c r="B1404">
        <v>6.4999999999999988E-2</v>
      </c>
      <c r="C1404">
        <v>0.17</v>
      </c>
      <c r="D1404">
        <v>2.8212255846358043</v>
      </c>
      <c r="E1404">
        <v>1.1592731943831389</v>
      </c>
      <c r="F1404">
        <v>0.35924958883491881</v>
      </c>
      <c r="G1404" s="166">
        <v>70.218234631519366</v>
      </c>
    </row>
    <row r="1405" spans="1:7" x14ac:dyDescent="0.25">
      <c r="A1405">
        <v>48</v>
      </c>
      <c r="B1405">
        <v>6.4999999999999988E-2</v>
      </c>
      <c r="C1405">
        <v>0.17</v>
      </c>
      <c r="D1405">
        <v>2.8122047618258956</v>
      </c>
      <c r="E1405">
        <v>1.1555664372447667</v>
      </c>
      <c r="F1405">
        <v>0.35810089413178653</v>
      </c>
      <c r="G1405" s="166">
        <v>69.959191164314333</v>
      </c>
    </row>
    <row r="1406" spans="1:7" x14ac:dyDescent="0.25">
      <c r="A1406">
        <v>47</v>
      </c>
      <c r="B1406">
        <v>6.4999999999999988E-2</v>
      </c>
      <c r="C1406">
        <v>0.17</v>
      </c>
      <c r="D1406">
        <v>2.8031839390159865</v>
      </c>
      <c r="E1406">
        <v>1.1518596801063943</v>
      </c>
      <c r="F1406">
        <v>0.35695219942865425</v>
      </c>
      <c r="G1406" s="166">
        <v>69.698480460660619</v>
      </c>
    </row>
    <row r="1407" spans="1:7" x14ac:dyDescent="0.25">
      <c r="A1407">
        <v>46</v>
      </c>
      <c r="B1407">
        <v>6.4999999999999988E-2</v>
      </c>
      <c r="C1407">
        <v>0.17</v>
      </c>
      <c r="D1407">
        <v>2.7941631162060778</v>
      </c>
      <c r="E1407">
        <v>1.1481529229680221</v>
      </c>
      <c r="F1407">
        <v>0.35580350472552197</v>
      </c>
      <c r="G1407" s="166">
        <v>69.436086372777353</v>
      </c>
    </row>
    <row r="1408" spans="1:7" x14ac:dyDescent="0.25">
      <c r="A1408">
        <v>45</v>
      </c>
      <c r="B1408">
        <v>6.4999999999999988E-2</v>
      </c>
      <c r="C1408">
        <v>0.17</v>
      </c>
      <c r="D1408">
        <v>2.7851422933961687</v>
      </c>
      <c r="E1408">
        <v>1.1444461658296496</v>
      </c>
      <c r="F1408">
        <v>0.35465481002238969</v>
      </c>
      <c r="G1408" s="166">
        <v>69.171992543678883</v>
      </c>
    </row>
    <row r="1409" spans="1:7" x14ac:dyDescent="0.25">
      <c r="A1409">
        <v>44</v>
      </c>
      <c r="B1409">
        <v>6.4999999999999988E-2</v>
      </c>
      <c r="C1409">
        <v>0.17</v>
      </c>
      <c r="D1409">
        <v>2.7754480520903604</v>
      </c>
      <c r="E1409">
        <v>1.140462693488087</v>
      </c>
      <c r="F1409">
        <v>0.35342036346762123</v>
      </c>
      <c r="G1409" s="166">
        <v>68.896164656866219</v>
      </c>
    </row>
    <row r="1410" spans="1:7" x14ac:dyDescent="0.25">
      <c r="A1410">
        <v>43</v>
      </c>
      <c r="B1410">
        <v>6.4999999999999988E-2</v>
      </c>
      <c r="C1410">
        <v>0.17</v>
      </c>
      <c r="D1410">
        <v>2.764637275491916</v>
      </c>
      <c r="E1410">
        <v>1.1360204242880299</v>
      </c>
      <c r="F1410">
        <v>0.35204373939717187</v>
      </c>
      <c r="G1410" s="166">
        <v>68.60161245401612</v>
      </c>
    </row>
    <row r="1411" spans="1:7" x14ac:dyDescent="0.25">
      <c r="A1411">
        <v>42</v>
      </c>
      <c r="B1411">
        <v>6.4999999999999988E-2</v>
      </c>
      <c r="C1411">
        <v>0.17</v>
      </c>
      <c r="D1411">
        <v>2.753826498893472</v>
      </c>
      <c r="E1411">
        <v>1.1315781550879727</v>
      </c>
      <c r="F1411">
        <v>0.35066711532672251</v>
      </c>
      <c r="G1411" s="166">
        <v>68.304747586905691</v>
      </c>
    </row>
    <row r="1412" spans="1:7" x14ac:dyDescent="0.25">
      <c r="A1412">
        <v>41</v>
      </c>
      <c r="B1412">
        <v>6.4999999999999988E-2</v>
      </c>
      <c r="C1412">
        <v>0.17</v>
      </c>
      <c r="D1412">
        <v>2.7430157222950271</v>
      </c>
      <c r="E1412">
        <v>1.1271358858879155</v>
      </c>
      <c r="F1412">
        <v>0.34929049125627309</v>
      </c>
      <c r="G1412" s="166">
        <v>68.005542711510103</v>
      </c>
    </row>
    <row r="1413" spans="1:7" x14ac:dyDescent="0.25">
      <c r="A1413">
        <v>40</v>
      </c>
      <c r="B1413">
        <v>6.4999999999999988E-2</v>
      </c>
      <c r="C1413">
        <v>0.17</v>
      </c>
      <c r="D1413">
        <v>2.7320706733752913</v>
      </c>
      <c r="E1413">
        <v>1.1226384426870024</v>
      </c>
      <c r="F1413">
        <v>0.34789676919958729</v>
      </c>
      <c r="G1413" s="166">
        <v>67.702236118348168</v>
      </c>
    </row>
    <row r="1414" spans="1:7" x14ac:dyDescent="0.25">
      <c r="A1414">
        <v>39</v>
      </c>
      <c r="B1414">
        <v>6.4999999999999988E-2</v>
      </c>
      <c r="C1414">
        <v>0.17</v>
      </c>
      <c r="D1414">
        <v>2.7192778218849187</v>
      </c>
      <c r="E1414">
        <v>1.1173817167118523</v>
      </c>
      <c r="F1414">
        <v>0.34626775141987798</v>
      </c>
      <c r="G1414" s="166">
        <v>67.372306682951148</v>
      </c>
    </row>
    <row r="1415" spans="1:7" x14ac:dyDescent="0.25">
      <c r="A1415">
        <v>38</v>
      </c>
      <c r="B1415">
        <v>6.4999999999999988E-2</v>
      </c>
      <c r="C1415">
        <v>0.17</v>
      </c>
      <c r="D1415">
        <v>2.7064849703945466</v>
      </c>
      <c r="E1415">
        <v>1.1121249907367021</v>
      </c>
      <c r="F1415">
        <v>0.34463873364016867</v>
      </c>
      <c r="G1415" s="166">
        <v>67.039258266059321</v>
      </c>
    </row>
    <row r="1416" spans="1:7" x14ac:dyDescent="0.25">
      <c r="A1416">
        <v>37</v>
      </c>
      <c r="B1416">
        <v>6.4999999999999988E-2</v>
      </c>
      <c r="C1416">
        <v>0.17</v>
      </c>
      <c r="D1416">
        <v>2.693692118904174</v>
      </c>
      <c r="E1416">
        <v>1.106868264761552</v>
      </c>
      <c r="F1416">
        <v>0.34300971586045942</v>
      </c>
      <c r="G1416" s="166">
        <v>66.703046429780017</v>
      </c>
    </row>
    <row r="1417" spans="1:7" x14ac:dyDescent="0.25">
      <c r="A1417">
        <v>36</v>
      </c>
      <c r="B1417">
        <v>6.4999999999999988E-2</v>
      </c>
      <c r="C1417">
        <v>0.17</v>
      </c>
      <c r="D1417">
        <v>2.6800533854700728</v>
      </c>
      <c r="E1417">
        <v>1.1012639564206677</v>
      </c>
      <c r="F1417">
        <v>0.34127298505626086</v>
      </c>
      <c r="G1417" s="166">
        <v>66.354193935139079</v>
      </c>
    </row>
    <row r="1418" spans="1:7" x14ac:dyDescent="0.25">
      <c r="A1418">
        <v>35</v>
      </c>
      <c r="B1418">
        <v>6.4999999999999988E-2</v>
      </c>
      <c r="C1418">
        <v>0.17</v>
      </c>
      <c r="D1418">
        <v>2.6650784011625883</v>
      </c>
      <c r="E1418">
        <v>1.0951105676280393</v>
      </c>
      <c r="F1418">
        <v>0.33936609856530786</v>
      </c>
      <c r="G1418" s="166">
        <v>65.986607741198114</v>
      </c>
    </row>
    <row r="1419" spans="1:7" x14ac:dyDescent="0.25">
      <c r="A1419">
        <v>34</v>
      </c>
      <c r="B1419">
        <v>6.4999999999999988E-2</v>
      </c>
      <c r="C1419">
        <v>0.17</v>
      </c>
      <c r="D1419">
        <v>2.6501034168551043</v>
      </c>
      <c r="E1419">
        <v>1.0889571788354109</v>
      </c>
      <c r="F1419">
        <v>0.33745921207435486</v>
      </c>
      <c r="G1419" s="166">
        <v>65.614867296180861</v>
      </c>
    </row>
    <row r="1420" spans="1:7" x14ac:dyDescent="0.25">
      <c r="A1420">
        <v>33</v>
      </c>
      <c r="B1420">
        <v>6.4999999999999988E-2</v>
      </c>
      <c r="C1420">
        <v>0.17</v>
      </c>
      <c r="D1420">
        <v>2.6346245613011146</v>
      </c>
      <c r="E1420">
        <v>1.0825967437035333</v>
      </c>
      <c r="F1420">
        <v>0.33548816356136474</v>
      </c>
      <c r="G1420" s="166">
        <v>65.234175626190677</v>
      </c>
    </row>
    <row r="1421" spans="1:7" x14ac:dyDescent="0.25">
      <c r="A1421">
        <v>32</v>
      </c>
      <c r="B1421">
        <v>6.4999999999999988E-2</v>
      </c>
      <c r="C1421">
        <v>0.17</v>
      </c>
      <c r="D1421">
        <v>2.6172591623512611</v>
      </c>
      <c r="E1421">
        <v>1.0754611067583819</v>
      </c>
      <c r="F1421">
        <v>0.33327688614113166</v>
      </c>
      <c r="G1421" s="166">
        <v>64.830890633775681</v>
      </c>
    </row>
    <row r="1422" spans="1:7" x14ac:dyDescent="0.25">
      <c r="A1422">
        <v>31</v>
      </c>
      <c r="B1422">
        <v>6.4999999999999988E-2</v>
      </c>
      <c r="C1422">
        <v>0.17</v>
      </c>
      <c r="D1422">
        <v>2.5998937634014077</v>
      </c>
      <c r="E1422">
        <v>1.0683254698132301</v>
      </c>
      <c r="F1422">
        <v>0.33106560872089852</v>
      </c>
      <c r="G1422" s="166">
        <v>64.422218340631403</v>
      </c>
    </row>
    <row r="1423" spans="1:7" x14ac:dyDescent="0.25">
      <c r="A1423">
        <v>30</v>
      </c>
      <c r="B1423">
        <v>6.4999999999999988E-2</v>
      </c>
      <c r="C1423">
        <v>0.17</v>
      </c>
      <c r="D1423">
        <v>2.5813729652707953</v>
      </c>
      <c r="E1423">
        <v>1.0607150664026246</v>
      </c>
      <c r="F1423">
        <v>0.32870720493016586</v>
      </c>
      <c r="G1423" s="166">
        <v>63.999072225305554</v>
      </c>
    </row>
    <row r="1424" spans="1:7" x14ac:dyDescent="0.25">
      <c r="A1424">
        <v>29</v>
      </c>
      <c r="B1424">
        <v>6.4999999999999988E-2</v>
      </c>
      <c r="C1424">
        <v>0.17</v>
      </c>
      <c r="D1424">
        <v>2.5614003488322559</v>
      </c>
      <c r="E1424">
        <v>1.0525080945869043</v>
      </c>
      <c r="F1424">
        <v>0.32616392931173316</v>
      </c>
      <c r="G1424" s="166">
        <v>63.558192778879985</v>
      </c>
    </row>
    <row r="1425" spans="1:7" x14ac:dyDescent="0.25">
      <c r="A1425">
        <v>28</v>
      </c>
      <c r="B1425">
        <v>6.4999999999999988E-2</v>
      </c>
      <c r="C1425">
        <v>0.17</v>
      </c>
      <c r="D1425">
        <v>2.541391747155854</v>
      </c>
      <c r="E1425">
        <v>1.0442863360338617</v>
      </c>
      <c r="F1425">
        <v>0.32361607140042153</v>
      </c>
      <c r="G1425" s="166">
        <v>63.11016489644264</v>
      </c>
    </row>
    <row r="1426" spans="1:7" x14ac:dyDescent="0.25">
      <c r="A1426">
        <v>27</v>
      </c>
      <c r="B1426">
        <v>6.4999999999999988E-2</v>
      </c>
      <c r="C1426">
        <v>0.17</v>
      </c>
      <c r="D1426">
        <v>2.5185862818495037</v>
      </c>
      <c r="E1426">
        <v>1.0349153148865047</v>
      </c>
      <c r="F1426">
        <v>0.32071206610601577</v>
      </c>
      <c r="G1426" s="166">
        <v>62.637356734692858</v>
      </c>
    </row>
    <row r="1427" spans="1:7" x14ac:dyDescent="0.25">
      <c r="A1427">
        <v>26</v>
      </c>
      <c r="B1427">
        <v>6.4999999999999988E-2</v>
      </c>
      <c r="C1427">
        <v>0.17</v>
      </c>
      <c r="D1427">
        <v>2.495780816543153</v>
      </c>
      <c r="E1427">
        <v>1.0255442937391475</v>
      </c>
      <c r="F1427">
        <v>0.31780806081160995</v>
      </c>
      <c r="G1427" s="166">
        <v>62.155907902209591</v>
      </c>
    </row>
    <row r="1428" spans="1:7" x14ac:dyDescent="0.25">
      <c r="A1428">
        <v>25</v>
      </c>
      <c r="B1428">
        <v>6.4999999999999988E-2</v>
      </c>
      <c r="C1428">
        <v>0.17</v>
      </c>
      <c r="D1428">
        <v>2.4703270024002841</v>
      </c>
      <c r="E1428">
        <v>1.0150850363896693</v>
      </c>
      <c r="F1428">
        <v>0.31456681973010797</v>
      </c>
      <c r="G1428" s="166">
        <v>61.652970702732048</v>
      </c>
    </row>
    <row r="1429" spans="1:7" x14ac:dyDescent="0.25">
      <c r="A1429">
        <v>24</v>
      </c>
      <c r="B1429">
        <v>6.4999999999999988E-2</v>
      </c>
      <c r="C1429">
        <v>0.17</v>
      </c>
      <c r="D1429">
        <v>2.4444002458676257</v>
      </c>
      <c r="E1429">
        <v>1.004431441714613</v>
      </c>
      <c r="F1429">
        <v>0.31126535504933062</v>
      </c>
      <c r="G1429" s="166">
        <v>61.138389081517573</v>
      </c>
    </row>
    <row r="1430" spans="1:7" x14ac:dyDescent="0.25">
      <c r="A1430">
        <v>23</v>
      </c>
      <c r="B1430">
        <v>6.4999999999999988E-2</v>
      </c>
      <c r="C1430">
        <v>0.17</v>
      </c>
      <c r="D1430">
        <v>2.4152787792940718</v>
      </c>
      <c r="E1430">
        <v>0.99246510489855011</v>
      </c>
      <c r="F1430">
        <v>0.30755708196766224</v>
      </c>
      <c r="G1430" s="166">
        <v>60.603116699936464</v>
      </c>
    </row>
    <row r="1431" spans="1:7" x14ac:dyDescent="0.25">
      <c r="A1431">
        <v>22</v>
      </c>
      <c r="B1431">
        <v>6.4999999999999988E-2</v>
      </c>
      <c r="C1431">
        <v>0.17</v>
      </c>
      <c r="D1431">
        <v>2.3851395887738773</v>
      </c>
      <c r="E1431">
        <v>0.98008057391288705</v>
      </c>
      <c r="F1431">
        <v>0.30371921382228495</v>
      </c>
      <c r="G1431" s="166">
        <v>60.052731662335333</v>
      </c>
    </row>
    <row r="1432" spans="1:7" x14ac:dyDescent="0.25">
      <c r="A1432">
        <v>21</v>
      </c>
      <c r="B1432">
        <v>6.4999999999999988E-2</v>
      </c>
      <c r="C1432">
        <v>0.17</v>
      </c>
      <c r="D1432">
        <v>2.3507308625900873</v>
      </c>
      <c r="E1432">
        <v>0.96594164289830586</v>
      </c>
      <c r="F1432">
        <v>0.29933767099168723</v>
      </c>
      <c r="G1432" s="166">
        <v>59.392546468914297</v>
      </c>
    </row>
    <row r="1433" spans="1:7" x14ac:dyDescent="0.25">
      <c r="A1433">
        <v>20</v>
      </c>
      <c r="B1433">
        <v>6.4999999999999988E-2</v>
      </c>
      <c r="C1433">
        <v>0.17</v>
      </c>
      <c r="D1433">
        <v>2.3119779698958851</v>
      </c>
      <c r="E1433">
        <v>0.95001764520388032</v>
      </c>
      <c r="F1433">
        <v>0.29440295012343271</v>
      </c>
      <c r="G1433" s="166">
        <v>58.596554581667249</v>
      </c>
    </row>
    <row r="1434" spans="1:7" x14ac:dyDescent="0.25">
      <c r="A1434">
        <v>19</v>
      </c>
      <c r="B1434">
        <v>6.4999999999999988E-2</v>
      </c>
      <c r="C1434">
        <v>0.17</v>
      </c>
      <c r="D1434">
        <v>2.2685967452152482</v>
      </c>
      <c r="E1434">
        <v>0.93219181405246376</v>
      </c>
      <c r="F1434">
        <v>0.28887886611733726</v>
      </c>
      <c r="G1434" s="166">
        <v>57.799188223835287</v>
      </c>
    </row>
    <row r="1435" spans="1:7" x14ac:dyDescent="0.25">
      <c r="A1435">
        <v>18</v>
      </c>
      <c r="B1435">
        <v>6.4999999999999988E-2</v>
      </c>
      <c r="C1435">
        <v>0.17</v>
      </c>
      <c r="D1435">
        <v>2.2191401460025881</v>
      </c>
      <c r="E1435">
        <v>0.9118695434531815</v>
      </c>
      <c r="F1435">
        <v>0.28258115528234384</v>
      </c>
      <c r="G1435" s="166">
        <v>57.013854997812011</v>
      </c>
    </row>
    <row r="1436" spans="1:7" x14ac:dyDescent="0.25">
      <c r="A1436">
        <v>17</v>
      </c>
      <c r="B1436">
        <v>6.4999999999999988E-2</v>
      </c>
      <c r="C1436">
        <v>0.17</v>
      </c>
      <c r="D1436">
        <v>2.1636583687542545</v>
      </c>
      <c r="E1436">
        <v>0.88907145970865442</v>
      </c>
      <c r="F1436">
        <v>0.27551620954640499</v>
      </c>
      <c r="G1436" s="166">
        <v>56.244742959316774</v>
      </c>
    </row>
    <row r="1437" spans="1:7" x14ac:dyDescent="0.25">
      <c r="A1437">
        <v>16</v>
      </c>
      <c r="B1437">
        <v>6.4999999999999988E-2</v>
      </c>
      <c r="C1437">
        <v>0.17</v>
      </c>
      <c r="D1437">
        <v>2.1003369018270157</v>
      </c>
      <c r="E1437">
        <v>0.86305195965962056</v>
      </c>
      <c r="F1437">
        <v>0.26745297239092203</v>
      </c>
      <c r="G1437" s="166">
        <v>55.515943612097942</v>
      </c>
    </row>
    <row r="1438" spans="1:7" x14ac:dyDescent="0.25">
      <c r="A1438">
        <v>15</v>
      </c>
      <c r="B1438">
        <v>6.4999999999999988E-2</v>
      </c>
      <c r="C1438">
        <v>0.17</v>
      </c>
      <c r="D1438">
        <v>2.0283091942381088</v>
      </c>
      <c r="E1438">
        <v>0.83345496780068506</v>
      </c>
      <c r="F1438">
        <v>0.25828109883463679</v>
      </c>
      <c r="G1438" s="166">
        <v>54.847623955441421</v>
      </c>
    </row>
    <row r="1439" spans="1:7" x14ac:dyDescent="0.25">
      <c r="A1439">
        <v>14</v>
      </c>
      <c r="B1439">
        <v>6.4999999999999988E-2</v>
      </c>
      <c r="C1439">
        <v>0.17</v>
      </c>
      <c r="D1439">
        <v>1.9456232152244011</v>
      </c>
      <c r="E1439">
        <v>0.79947837282581269</v>
      </c>
      <c r="F1439">
        <v>0.2477520209314524</v>
      </c>
      <c r="G1439" s="166">
        <v>54.28121808024504</v>
      </c>
    </row>
    <row r="1440" spans="1:7" x14ac:dyDescent="0.25">
      <c r="A1440">
        <v>13</v>
      </c>
      <c r="B1440">
        <v>6.4999999999999988E-2</v>
      </c>
      <c r="C1440">
        <v>0.17</v>
      </c>
      <c r="D1440">
        <v>1.8502402953727826</v>
      </c>
      <c r="E1440">
        <v>0.7602844626372196</v>
      </c>
      <c r="F1440">
        <v>0.23560613833164198</v>
      </c>
      <c r="G1440" s="166">
        <v>53.874846895869531</v>
      </c>
    </row>
    <row r="1441" spans="1:7" x14ac:dyDescent="0.25">
      <c r="A1441">
        <v>12</v>
      </c>
      <c r="B1441">
        <v>6.4999999999999988E-2</v>
      </c>
      <c r="C1441">
        <v>0.17</v>
      </c>
      <c r="D1441">
        <v>1.7382563245575033</v>
      </c>
      <c r="E1441">
        <v>0.71426899465276361</v>
      </c>
      <c r="F1441">
        <v>0.22134630895444457</v>
      </c>
      <c r="G1441" s="166">
        <v>53.748690272858397</v>
      </c>
    </row>
    <row r="1442" spans="1:7" x14ac:dyDescent="0.25">
      <c r="A1442">
        <v>11</v>
      </c>
      <c r="B1442">
        <v>6.4999999999999988E-2</v>
      </c>
      <c r="C1442">
        <v>0.17</v>
      </c>
      <c r="D1442">
        <v>1.6059940521630791</v>
      </c>
      <c r="E1442">
        <v>0.65992094540421331</v>
      </c>
      <c r="F1442">
        <v>0.20450427858479486</v>
      </c>
      <c r="G1442" s="166">
        <v>54.010899237652389</v>
      </c>
    </row>
    <row r="1443" spans="1:7" x14ac:dyDescent="0.25">
      <c r="A1443">
        <v>10</v>
      </c>
      <c r="B1443">
        <v>6.4999999999999988E-2</v>
      </c>
      <c r="C1443">
        <v>0.17</v>
      </c>
      <c r="D1443">
        <v>1.466357277900785</v>
      </c>
      <c r="E1443">
        <v>0.60254263073346215</v>
      </c>
      <c r="F1443">
        <v>0.18672319294132289</v>
      </c>
      <c r="G1443" s="166">
        <v>53.806770404514147</v>
      </c>
    </row>
    <row r="1444" spans="1:7" x14ac:dyDescent="0.25">
      <c r="A1444">
        <v>9</v>
      </c>
      <c r="B1444">
        <v>6.4999999999999988E-2</v>
      </c>
      <c r="C1444">
        <v>0.17</v>
      </c>
      <c r="D1444">
        <v>1.3267205036384913</v>
      </c>
      <c r="E1444">
        <v>0.54516431606271121</v>
      </c>
      <c r="F1444">
        <v>0.16894210729785097</v>
      </c>
      <c r="G1444" s="166">
        <v>53.559672623937203</v>
      </c>
    </row>
    <row r="1445" spans="1:7" x14ac:dyDescent="0.25">
      <c r="A1445">
        <v>8</v>
      </c>
      <c r="B1445">
        <v>6.4999999999999988E-2</v>
      </c>
      <c r="C1445">
        <v>0.17</v>
      </c>
      <c r="D1445">
        <v>1.1870837293761975</v>
      </c>
      <c r="E1445">
        <v>0.48778600139196021</v>
      </c>
      <c r="F1445">
        <v>0.15116102165437903</v>
      </c>
      <c r="G1445" s="166">
        <v>53.254442571552815</v>
      </c>
    </row>
    <row r="1446" spans="1:7" x14ac:dyDescent="0.25">
      <c r="A1446">
        <v>7</v>
      </c>
      <c r="B1446">
        <v>6.4999999999999988E-2</v>
      </c>
      <c r="C1446">
        <v>0.17</v>
      </c>
      <c r="D1446">
        <v>1.0472008722763497</v>
      </c>
      <c r="E1446">
        <v>0.43030656852678772</v>
      </c>
      <c r="F1446">
        <v>0.13334860028267181</v>
      </c>
      <c r="G1446" s="166">
        <v>52.876745147630857</v>
      </c>
    </row>
    <row r="1447" spans="1:7" x14ac:dyDescent="0.25">
      <c r="A1447">
        <v>6</v>
      </c>
      <c r="B1447">
        <v>6.4999999999999988E-2</v>
      </c>
      <c r="C1447">
        <v>0.17</v>
      </c>
      <c r="D1447">
        <v>0.90728245160371301</v>
      </c>
      <c r="E1447">
        <v>0.37281252219119471</v>
      </c>
      <c r="F1447">
        <v>0.11553165031212743</v>
      </c>
      <c r="G1447" s="166">
        <v>52.384055025007015</v>
      </c>
    </row>
    <row r="1448" spans="1:7" x14ac:dyDescent="0.25">
      <c r="A1448">
        <v>5</v>
      </c>
      <c r="B1448">
        <v>6.4999999999999988E-2</v>
      </c>
      <c r="C1448">
        <v>0.17</v>
      </c>
      <c r="D1448">
        <v>0.76706604945325851</v>
      </c>
      <c r="E1448">
        <v>0.31519603192855877</v>
      </c>
      <c r="F1448">
        <v>9.7676755937573162E-2</v>
      </c>
      <c r="G1448" s="166">
        <v>51.726365652246542</v>
      </c>
    </row>
    <row r="1449" spans="1:7" x14ac:dyDescent="0.25">
      <c r="A1449">
        <v>4</v>
      </c>
      <c r="B1449">
        <v>6.4999999999999988E-2</v>
      </c>
      <c r="C1449">
        <v>0.17</v>
      </c>
      <c r="D1449">
        <v>0.62650927383087396</v>
      </c>
      <c r="E1449">
        <v>0.25743967839364973</v>
      </c>
      <c r="F1449">
        <v>7.9778519041773119E-2</v>
      </c>
      <c r="G1449" s="166">
        <v>50.794829127979561</v>
      </c>
    </row>
    <row r="1450" spans="1:7" x14ac:dyDescent="0.25">
      <c r="A1450">
        <v>3</v>
      </c>
      <c r="B1450">
        <v>6.4999999999999988E-2</v>
      </c>
      <c r="C1450">
        <v>0.17</v>
      </c>
      <c r="D1450">
        <v>0.48528552331915575</v>
      </c>
      <c r="E1450">
        <v>0.19940925740566576</v>
      </c>
      <c r="F1450">
        <v>6.1795350811144269E-2</v>
      </c>
      <c r="G1450" s="166">
        <v>49.374032262262169</v>
      </c>
    </row>
    <row r="1451" spans="1:7" x14ac:dyDescent="0.25">
      <c r="A1451">
        <v>2</v>
      </c>
      <c r="B1451">
        <v>6.4999999999999988E-2</v>
      </c>
      <c r="C1451">
        <v>0.17</v>
      </c>
      <c r="D1451">
        <v>0.34246811812881051</v>
      </c>
      <c r="E1451">
        <v>0.14072398585908166</v>
      </c>
      <c r="F1451">
        <v>4.3609249574675844E-2</v>
      </c>
      <c r="G1451" s="166">
        <v>46.950027407449817</v>
      </c>
    </row>
    <row r="1452" spans="1:7" x14ac:dyDescent="0.25">
      <c r="A1452">
        <v>1</v>
      </c>
      <c r="B1452">
        <v>6.4999999999999988E-2</v>
      </c>
      <c r="C1452">
        <v>0.17</v>
      </c>
      <c r="D1452">
        <v>0.19417371426589342</v>
      </c>
      <c r="E1452">
        <v>7.9788154207923664E-2</v>
      </c>
      <c r="F1452">
        <v>2.4725717571987854E-2</v>
      </c>
      <c r="G1452" s="166">
        <v>41.966986664328587</v>
      </c>
    </row>
    <row r="1453" spans="1:7" x14ac:dyDescent="0.25">
      <c r="A1453">
        <v>50</v>
      </c>
      <c r="B1453">
        <v>5.9999999999999991E-2</v>
      </c>
      <c r="C1453">
        <v>0.17</v>
      </c>
      <c r="D1453">
        <v>2.8239765224632847</v>
      </c>
      <c r="E1453">
        <v>1.1604035855507862</v>
      </c>
      <c r="F1453">
        <v>0.35959988811223104</v>
      </c>
      <c r="G1453" s="166">
        <v>70.325510387329345</v>
      </c>
    </row>
    <row r="1454" spans="1:7" x14ac:dyDescent="0.25">
      <c r="A1454">
        <v>49</v>
      </c>
      <c r="B1454">
        <v>5.9999999999999991E-2</v>
      </c>
      <c r="C1454">
        <v>0.17</v>
      </c>
      <c r="D1454">
        <v>2.8150798287562599</v>
      </c>
      <c r="E1454">
        <v>1.1567478344512079</v>
      </c>
      <c r="F1454">
        <v>0.35846699977687613</v>
      </c>
      <c r="G1454" s="166">
        <v>70.070061520573049</v>
      </c>
    </row>
    <row r="1455" spans="1:7" x14ac:dyDescent="0.25">
      <c r="A1455">
        <v>48</v>
      </c>
      <c r="B1455">
        <v>5.9999999999999991E-2</v>
      </c>
      <c r="C1455">
        <v>0.17</v>
      </c>
      <c r="D1455">
        <v>2.8061831350492357</v>
      </c>
      <c r="E1455">
        <v>1.1530920833516296</v>
      </c>
      <c r="F1455">
        <v>0.35733411144152122</v>
      </c>
      <c r="G1455" s="166">
        <v>69.812992908977577</v>
      </c>
    </row>
    <row r="1456" spans="1:7" x14ac:dyDescent="0.25">
      <c r="A1456">
        <v>47</v>
      </c>
      <c r="B1456">
        <v>5.9999999999999991E-2</v>
      </c>
      <c r="C1456">
        <v>0.17</v>
      </c>
      <c r="D1456">
        <v>2.7972864413422114</v>
      </c>
      <c r="E1456">
        <v>1.1494363322520516</v>
      </c>
      <c r="F1456">
        <v>0.35620122310616631</v>
      </c>
      <c r="G1456" s="166">
        <v>69.554289097879334</v>
      </c>
    </row>
    <row r="1457" spans="1:7" x14ac:dyDescent="0.25">
      <c r="A1457">
        <v>46</v>
      </c>
      <c r="B1457">
        <v>5.9999999999999991E-2</v>
      </c>
      <c r="C1457">
        <v>0.17</v>
      </c>
      <c r="D1457">
        <v>2.7883897476351871</v>
      </c>
      <c r="E1457">
        <v>1.1457805811524733</v>
      </c>
      <c r="F1457">
        <v>0.35506833477081146</v>
      </c>
      <c r="G1457" s="166">
        <v>69.293934435374695</v>
      </c>
    </row>
    <row r="1458" spans="1:7" x14ac:dyDescent="0.25">
      <c r="A1458">
        <v>45</v>
      </c>
      <c r="B1458">
        <v>5.9999999999999991E-2</v>
      </c>
      <c r="C1458">
        <v>0.17</v>
      </c>
      <c r="D1458">
        <v>2.7788081478093996</v>
      </c>
      <c r="E1458">
        <v>1.1418433944567927</v>
      </c>
      <c r="F1458">
        <v>0.35384823177141256</v>
      </c>
      <c r="G1458" s="166">
        <v>69.021767742224156</v>
      </c>
    </row>
    <row r="1459" spans="1:7" x14ac:dyDescent="0.25">
      <c r="A1459">
        <v>44</v>
      </c>
      <c r="B1459">
        <v>5.9999999999999991E-2</v>
      </c>
      <c r="C1459">
        <v>0.17</v>
      </c>
      <c r="D1459">
        <v>2.7681611873078262</v>
      </c>
      <c r="E1459">
        <v>1.1374684391259082</v>
      </c>
      <c r="F1459">
        <v>0.35249246773632015</v>
      </c>
      <c r="G1459" s="166">
        <v>68.731766671523658</v>
      </c>
    </row>
    <row r="1460" spans="1:7" x14ac:dyDescent="0.25">
      <c r="A1460">
        <v>43</v>
      </c>
      <c r="B1460">
        <v>5.9999999999999991E-2</v>
      </c>
      <c r="C1460">
        <v>0.17</v>
      </c>
      <c r="D1460">
        <v>2.7575142268062534</v>
      </c>
      <c r="E1460">
        <v>1.1330934837950239</v>
      </c>
      <c r="F1460">
        <v>0.35113670370122779</v>
      </c>
      <c r="G1460" s="166">
        <v>68.439526170893771</v>
      </c>
    </row>
    <row r="1461" spans="1:7" x14ac:dyDescent="0.25">
      <c r="A1461">
        <v>42</v>
      </c>
      <c r="B1461">
        <v>5.9999999999999991E-2</v>
      </c>
      <c r="C1461">
        <v>0.17</v>
      </c>
      <c r="D1461">
        <v>2.74686726630468</v>
      </c>
      <c r="E1461">
        <v>1.1287185284641394</v>
      </c>
      <c r="F1461">
        <v>0.34978093966613533</v>
      </c>
      <c r="G1461" s="166">
        <v>68.145020199991365</v>
      </c>
    </row>
    <row r="1462" spans="1:7" x14ac:dyDescent="0.25">
      <c r="A1462">
        <v>41</v>
      </c>
      <c r="B1462">
        <v>5.9999999999999991E-2</v>
      </c>
      <c r="C1462">
        <v>0.17</v>
      </c>
      <c r="D1462">
        <v>2.7360838308034974</v>
      </c>
      <c r="E1462">
        <v>1.1242874940272054</v>
      </c>
      <c r="F1462">
        <v>0.34840779715986964</v>
      </c>
      <c r="G1462" s="166">
        <v>67.846469716317429</v>
      </c>
    </row>
    <row r="1463" spans="1:7" x14ac:dyDescent="0.25">
      <c r="A1463">
        <v>40</v>
      </c>
      <c r="B1463">
        <v>5.9999999999999991E-2</v>
      </c>
      <c r="C1463">
        <v>0.17</v>
      </c>
      <c r="D1463">
        <v>2.7235027630484971</v>
      </c>
      <c r="E1463">
        <v>1.1191177923611928</v>
      </c>
      <c r="F1463">
        <v>0.34680574752488041</v>
      </c>
      <c r="G1463" s="166">
        <v>67.522165223626587</v>
      </c>
    </row>
    <row r="1464" spans="1:7" x14ac:dyDescent="0.25">
      <c r="A1464">
        <v>39</v>
      </c>
      <c r="B1464">
        <v>5.9999999999999991E-2</v>
      </c>
      <c r="C1464">
        <v>0.17</v>
      </c>
      <c r="D1464">
        <v>2.7109216952934978</v>
      </c>
      <c r="E1464">
        <v>1.1139480906951802</v>
      </c>
      <c r="F1464">
        <v>0.34520369788989125</v>
      </c>
      <c r="G1464" s="166">
        <v>67.194850613157058</v>
      </c>
    </row>
    <row r="1465" spans="1:7" x14ac:dyDescent="0.25">
      <c r="A1465">
        <v>38</v>
      </c>
      <c r="B1465">
        <v>5.9999999999999991E-2</v>
      </c>
      <c r="C1465">
        <v>0.17</v>
      </c>
      <c r="D1465">
        <v>2.698340627538498</v>
      </c>
      <c r="E1465">
        <v>1.1087783890291674</v>
      </c>
      <c r="F1465">
        <v>0.34360164825490208</v>
      </c>
      <c r="G1465" s="166">
        <v>66.864483780703793</v>
      </c>
    </row>
    <row r="1466" spans="1:7" x14ac:dyDescent="0.25">
      <c r="A1466">
        <v>37</v>
      </c>
      <c r="B1466">
        <v>5.9999999999999991E-2</v>
      </c>
      <c r="C1466">
        <v>0.17</v>
      </c>
      <c r="D1466">
        <v>2.6849575657211608</v>
      </c>
      <c r="E1466">
        <v>1.1032791390194896</v>
      </c>
      <c r="F1466">
        <v>0.34189747419614763</v>
      </c>
      <c r="G1466" s="166">
        <v>66.522145584268841</v>
      </c>
    </row>
    <row r="1467" spans="1:7" x14ac:dyDescent="0.25">
      <c r="A1467">
        <v>36</v>
      </c>
      <c r="B1467">
        <v>5.9999999999999991E-2</v>
      </c>
      <c r="C1467">
        <v>0.17</v>
      </c>
      <c r="D1467">
        <v>2.670251620389783</v>
      </c>
      <c r="E1467">
        <v>1.0972363013557547</v>
      </c>
      <c r="F1467">
        <v>0.34002484662517363</v>
      </c>
      <c r="G1467" s="166">
        <v>66.161479910130012</v>
      </c>
    </row>
    <row r="1468" spans="1:7" x14ac:dyDescent="0.25">
      <c r="A1468">
        <v>35</v>
      </c>
      <c r="B1468">
        <v>5.9999999999999991E-2</v>
      </c>
      <c r="C1468">
        <v>0.17</v>
      </c>
      <c r="D1468">
        <v>2.6555456750584057</v>
      </c>
      <c r="E1468">
        <v>1.09119346369202</v>
      </c>
      <c r="F1468">
        <v>0.33815221905419968</v>
      </c>
      <c r="G1468" s="166">
        <v>65.796819629732553</v>
      </c>
    </row>
    <row r="1469" spans="1:7" x14ac:dyDescent="0.25">
      <c r="A1469">
        <v>34</v>
      </c>
      <c r="B1469">
        <v>5.9999999999999991E-2</v>
      </c>
      <c r="C1469">
        <v>0.17</v>
      </c>
      <c r="D1469">
        <v>2.640405351987952</v>
      </c>
      <c r="E1469">
        <v>1.0849721353496626</v>
      </c>
      <c r="F1469">
        <v>0.33622427863443688</v>
      </c>
      <c r="G1469" s="166">
        <v>65.424063730932289</v>
      </c>
    </row>
    <row r="1470" spans="1:7" x14ac:dyDescent="0.25">
      <c r="A1470">
        <v>33</v>
      </c>
      <c r="B1470">
        <v>5.9999999999999991E-2</v>
      </c>
      <c r="C1470">
        <v>0.17</v>
      </c>
      <c r="D1470">
        <v>2.6233766037492523</v>
      </c>
      <c r="E1470">
        <v>1.0779748319526812</v>
      </c>
      <c r="F1470">
        <v>0.33405586968605572</v>
      </c>
      <c r="G1470" s="166">
        <v>65.029081446991555</v>
      </c>
    </row>
    <row r="1471" spans="1:7" x14ac:dyDescent="0.25">
      <c r="A1471">
        <v>32</v>
      </c>
      <c r="B1471">
        <v>5.9999999999999991E-2</v>
      </c>
      <c r="C1471">
        <v>0.17</v>
      </c>
      <c r="D1471">
        <v>2.606347855510553</v>
      </c>
      <c r="E1471">
        <v>1.0709775285556997</v>
      </c>
      <c r="F1471">
        <v>0.33188746073767461</v>
      </c>
      <c r="G1471" s="166">
        <v>64.628937876649445</v>
      </c>
    </row>
    <row r="1472" spans="1:7" x14ac:dyDescent="0.25">
      <c r="A1472">
        <v>31</v>
      </c>
      <c r="B1472">
        <v>5.9999999999999991E-2</v>
      </c>
      <c r="C1472">
        <v>0.17</v>
      </c>
      <c r="D1472">
        <v>2.5882941876772083</v>
      </c>
      <c r="E1472">
        <v>1.0635590742167511</v>
      </c>
      <c r="F1472">
        <v>0.32958854044522706</v>
      </c>
      <c r="G1472" s="166">
        <v>64.215673837666714</v>
      </c>
    </row>
    <row r="1473" spans="1:7" x14ac:dyDescent="0.25">
      <c r="A1473">
        <v>30</v>
      </c>
      <c r="B1473">
        <v>5.9999999999999991E-2</v>
      </c>
      <c r="C1473">
        <v>0.17</v>
      </c>
      <c r="D1473">
        <v>2.5687373240265945</v>
      </c>
      <c r="E1473">
        <v>1.0555229398786001</v>
      </c>
      <c r="F1473">
        <v>0.32709820600914175</v>
      </c>
      <c r="G1473" s="166">
        <v>63.784742633695956</v>
      </c>
    </row>
    <row r="1474" spans="1:7" x14ac:dyDescent="0.25">
      <c r="A1474">
        <v>29</v>
      </c>
      <c r="B1474">
        <v>5.9999999999999991E-2</v>
      </c>
      <c r="C1474">
        <v>0.17</v>
      </c>
      <c r="D1474">
        <v>2.5491804603759811</v>
      </c>
      <c r="E1474">
        <v>1.0474868055404492</v>
      </c>
      <c r="F1474">
        <v>0.32460787157305643</v>
      </c>
      <c r="G1474" s="166">
        <v>63.347199373082013</v>
      </c>
    </row>
    <row r="1475" spans="1:7" x14ac:dyDescent="0.25">
      <c r="A1475">
        <v>28</v>
      </c>
      <c r="B1475">
        <v>5.9999999999999991E-2</v>
      </c>
      <c r="C1475">
        <v>0.17</v>
      </c>
      <c r="D1475">
        <v>2.5269902078159214</v>
      </c>
      <c r="E1475">
        <v>1.0383685822017825</v>
      </c>
      <c r="F1475">
        <v>0.32178220631900561</v>
      </c>
      <c r="G1475" s="166">
        <v>62.886567532926342</v>
      </c>
    </row>
    <row r="1476" spans="1:7" x14ac:dyDescent="0.25">
      <c r="A1476">
        <v>27</v>
      </c>
      <c r="B1476">
        <v>5.9999999999999991E-2</v>
      </c>
      <c r="C1476">
        <v>0.17</v>
      </c>
      <c r="D1476">
        <v>2.5046922896715373</v>
      </c>
      <c r="E1476">
        <v>1.0292061178685128</v>
      </c>
      <c r="F1476">
        <v>0.31894283113083594</v>
      </c>
      <c r="G1476" s="166">
        <v>62.417079969647304</v>
      </c>
    </row>
    <row r="1477" spans="1:7" x14ac:dyDescent="0.25">
      <c r="A1477">
        <v>26</v>
      </c>
      <c r="B1477">
        <v>5.9999999999999991E-2</v>
      </c>
      <c r="C1477">
        <v>0.17</v>
      </c>
      <c r="D1477">
        <v>2.4800339976246217</v>
      </c>
      <c r="E1477">
        <v>1.0190737494592172</v>
      </c>
      <c r="F1477">
        <v>0.31580289034500564</v>
      </c>
      <c r="G1477" s="166">
        <v>61.928224883802741</v>
      </c>
    </row>
    <row r="1478" spans="1:7" x14ac:dyDescent="0.25">
      <c r="A1478">
        <v>25</v>
      </c>
      <c r="B1478">
        <v>5.9999999999999991E-2</v>
      </c>
      <c r="C1478">
        <v>0.17</v>
      </c>
      <c r="D1478">
        <v>2.4547742124629051</v>
      </c>
      <c r="E1478">
        <v>1.0086942207914891</v>
      </c>
      <c r="F1478">
        <v>0.31258635655103162</v>
      </c>
      <c r="G1478" s="166">
        <v>61.426611417349747</v>
      </c>
    </row>
    <row r="1479" spans="1:7" x14ac:dyDescent="0.25">
      <c r="A1479">
        <v>24</v>
      </c>
      <c r="B1479">
        <v>5.9999999999999991E-2</v>
      </c>
      <c r="C1479">
        <v>0.17</v>
      </c>
      <c r="D1479">
        <v>2.4266859882453686</v>
      </c>
      <c r="E1479">
        <v>0.99715245483326753</v>
      </c>
      <c r="F1479">
        <v>0.30900965461829499</v>
      </c>
      <c r="G1479" s="166">
        <v>60.906703652725625</v>
      </c>
    </row>
    <row r="1480" spans="1:7" x14ac:dyDescent="0.25">
      <c r="A1480">
        <v>23</v>
      </c>
      <c r="B1480">
        <v>5.9999999999999991E-2</v>
      </c>
      <c r="C1480">
        <v>0.17</v>
      </c>
      <c r="D1480">
        <v>2.3976437974454821</v>
      </c>
      <c r="E1480">
        <v>0.98521869332060386</v>
      </c>
      <c r="F1480">
        <v>0.30531147636535982</v>
      </c>
      <c r="G1480" s="166">
        <v>60.373216909054612</v>
      </c>
    </row>
    <row r="1481" spans="1:7" x14ac:dyDescent="0.25">
      <c r="A1481">
        <v>22</v>
      </c>
      <c r="B1481">
        <v>5.9999999999999991E-2</v>
      </c>
      <c r="C1481">
        <v>0.17</v>
      </c>
      <c r="D1481">
        <v>2.3643387948654615</v>
      </c>
      <c r="E1481">
        <v>0.97153329469805338</v>
      </c>
      <c r="F1481">
        <v>0.30107047963394712</v>
      </c>
      <c r="G1481" s="166">
        <v>59.744928831358834</v>
      </c>
    </row>
    <row r="1482" spans="1:7" x14ac:dyDescent="0.25">
      <c r="A1482">
        <v>21</v>
      </c>
      <c r="B1482">
        <v>5.9999999999999991E-2</v>
      </c>
      <c r="C1482">
        <v>0.17</v>
      </c>
      <c r="D1482">
        <v>2.3267579601306103</v>
      </c>
      <c r="E1482">
        <v>0.95609090874780689</v>
      </c>
      <c r="F1482">
        <v>0.29628500643389771</v>
      </c>
      <c r="G1482" s="166">
        <v>58.978876787762466</v>
      </c>
    </row>
    <row r="1483" spans="1:7" x14ac:dyDescent="0.25">
      <c r="A1483">
        <v>20</v>
      </c>
      <c r="B1483">
        <v>5.9999999999999991E-2</v>
      </c>
      <c r="C1483">
        <v>0.17</v>
      </c>
      <c r="D1483">
        <v>2.284684091052076</v>
      </c>
      <c r="E1483">
        <v>0.93880228465749804</v>
      </c>
      <c r="F1483">
        <v>0.29092739864476064</v>
      </c>
      <c r="G1483" s="166">
        <v>58.213301683735025</v>
      </c>
    </row>
    <row r="1484" spans="1:7" x14ac:dyDescent="0.25">
      <c r="A1484">
        <v>19</v>
      </c>
      <c r="B1484">
        <v>5.9999999999999991E-2</v>
      </c>
      <c r="C1484">
        <v>0.17</v>
      </c>
      <c r="D1484">
        <v>2.23653745503759</v>
      </c>
      <c r="E1484">
        <v>0.91901829260975798</v>
      </c>
      <c r="F1484">
        <v>0.28479649607313184</v>
      </c>
      <c r="G1484" s="166">
        <v>57.463299133972157</v>
      </c>
    </row>
    <row r="1485" spans="1:7" x14ac:dyDescent="0.25">
      <c r="A1485">
        <v>18</v>
      </c>
      <c r="B1485">
        <v>5.9999999999999991E-2</v>
      </c>
      <c r="C1485">
        <v>0.17</v>
      </c>
      <c r="D1485">
        <v>2.1827549078332105</v>
      </c>
      <c r="E1485">
        <v>0.89691844152403488</v>
      </c>
      <c r="F1485">
        <v>0.27794792711257416</v>
      </c>
      <c r="G1485" s="166">
        <v>56.730310547405828</v>
      </c>
    </row>
    <row r="1486" spans="1:7" x14ac:dyDescent="0.25">
      <c r="A1486">
        <v>17</v>
      </c>
      <c r="B1486">
        <v>5.9999999999999991E-2</v>
      </c>
      <c r="C1486">
        <v>0.17</v>
      </c>
      <c r="D1486">
        <v>2.1211031279530528</v>
      </c>
      <c r="E1486">
        <v>0.87158503458546743</v>
      </c>
      <c r="F1486">
        <v>0.27009730478251087</v>
      </c>
      <c r="G1486" s="166">
        <v>56.043339544439554</v>
      </c>
    </row>
    <row r="1487" spans="1:7" x14ac:dyDescent="0.25">
      <c r="A1487">
        <v>16</v>
      </c>
      <c r="B1487">
        <v>5.9999999999999991E-2</v>
      </c>
      <c r="C1487">
        <v>0.17</v>
      </c>
      <c r="D1487">
        <v>2.0510672751547165</v>
      </c>
      <c r="E1487">
        <v>0.84280651817152563</v>
      </c>
      <c r="F1487">
        <v>0.26117907028948539</v>
      </c>
      <c r="G1487" s="166">
        <v>55.420076499304436</v>
      </c>
    </row>
    <row r="1488" spans="1:7" x14ac:dyDescent="0.25">
      <c r="A1488">
        <v>15</v>
      </c>
      <c r="B1488">
        <v>5.9999999999999991E-2</v>
      </c>
      <c r="C1488">
        <v>0.17</v>
      </c>
      <c r="D1488">
        <v>1.9709104452644763</v>
      </c>
      <c r="E1488">
        <v>0.80986917890147914</v>
      </c>
      <c r="F1488">
        <v>0.25097204950490082</v>
      </c>
      <c r="G1488" s="166">
        <v>54.899616873860005</v>
      </c>
    </row>
    <row r="1489" spans="1:7" x14ac:dyDescent="0.25">
      <c r="A1489">
        <v>14</v>
      </c>
      <c r="B1489">
        <v>5.9999999999999991E-2</v>
      </c>
      <c r="C1489">
        <v>0.17</v>
      </c>
      <c r="D1489">
        <v>1.8780975016231709</v>
      </c>
      <c r="E1489">
        <v>0.77173130072501706</v>
      </c>
      <c r="F1489">
        <v>0.23915342286856195</v>
      </c>
      <c r="G1489" s="166">
        <v>54.549551851290978</v>
      </c>
    </row>
    <row r="1490" spans="1:7" x14ac:dyDescent="0.25">
      <c r="A1490">
        <v>13</v>
      </c>
      <c r="B1490">
        <v>5.9999999999999991E-2</v>
      </c>
      <c r="C1490">
        <v>0.17</v>
      </c>
      <c r="D1490">
        <v>1.7700539649225073</v>
      </c>
      <c r="E1490">
        <v>0.72733500125660733</v>
      </c>
      <c r="F1490">
        <v>0.22539536100092347</v>
      </c>
      <c r="G1490" s="166">
        <v>54.465985063572816</v>
      </c>
    </row>
    <row r="1491" spans="1:7" x14ac:dyDescent="0.25">
      <c r="A1491">
        <v>12</v>
      </c>
      <c r="B1491">
        <v>5.9999999999999991E-2</v>
      </c>
      <c r="C1491">
        <v>0.17</v>
      </c>
      <c r="D1491">
        <v>1.6437105378379684</v>
      </c>
      <c r="E1491">
        <v>0.67541907184520078</v>
      </c>
      <c r="F1491">
        <v>0.20930702532181311</v>
      </c>
      <c r="G1491" s="166">
        <v>54.655900428983244</v>
      </c>
    </row>
    <row r="1492" spans="1:7" x14ac:dyDescent="0.25">
      <c r="A1492">
        <v>11</v>
      </c>
      <c r="B1492">
        <v>5.9999999999999991E-2</v>
      </c>
      <c r="C1492">
        <v>0.17</v>
      </c>
      <c r="D1492">
        <v>1.5124659034771686</v>
      </c>
      <c r="E1492">
        <v>0.62148918146363008</v>
      </c>
      <c r="F1492">
        <v>0.19259457907586958</v>
      </c>
      <c r="G1492" s="166">
        <v>54.472281460550732</v>
      </c>
    </row>
    <row r="1493" spans="1:7" x14ac:dyDescent="0.25">
      <c r="A1493">
        <v>10</v>
      </c>
      <c r="B1493">
        <v>5.9999999999999991E-2</v>
      </c>
      <c r="C1493">
        <v>0.17</v>
      </c>
      <c r="D1493">
        <v>1.381221269116369</v>
      </c>
      <c r="E1493">
        <v>0.5675592910820596</v>
      </c>
      <c r="F1493">
        <v>0.17588213282992604</v>
      </c>
      <c r="G1493" s="166">
        <v>54.253767280304601</v>
      </c>
    </row>
    <row r="1494" spans="1:7" x14ac:dyDescent="0.25">
      <c r="A1494">
        <v>9</v>
      </c>
      <c r="B1494">
        <v>5.9999999999999991E-2</v>
      </c>
      <c r="C1494">
        <v>0.17</v>
      </c>
      <c r="D1494">
        <v>1.249976634755569</v>
      </c>
      <c r="E1494">
        <v>0.5136294007004889</v>
      </c>
      <c r="F1494">
        <v>0.15916968658398245</v>
      </c>
      <c r="G1494" s="166">
        <v>53.989366140428039</v>
      </c>
    </row>
    <row r="1495" spans="1:7" x14ac:dyDescent="0.25">
      <c r="A1495">
        <v>8</v>
      </c>
      <c r="B1495">
        <v>5.9999999999999991E-2</v>
      </c>
      <c r="C1495">
        <v>0.17</v>
      </c>
      <c r="D1495">
        <v>1.1187320003947698</v>
      </c>
      <c r="E1495">
        <v>0.45969951031891848</v>
      </c>
      <c r="F1495">
        <v>0.14245724033803894</v>
      </c>
      <c r="G1495" s="166">
        <v>53.662928282346435</v>
      </c>
    </row>
    <row r="1496" spans="1:7" x14ac:dyDescent="0.25">
      <c r="A1496">
        <v>7</v>
      </c>
      <c r="B1496">
        <v>5.9999999999999991E-2</v>
      </c>
      <c r="C1496">
        <v>0.17</v>
      </c>
      <c r="D1496">
        <v>0.98723951587594605</v>
      </c>
      <c r="E1496">
        <v>0.4056677755311488</v>
      </c>
      <c r="F1496">
        <v>0.12571323331657724</v>
      </c>
      <c r="G1496" s="166">
        <v>53.259755758554753</v>
      </c>
    </row>
    <row r="1497" spans="1:7" x14ac:dyDescent="0.25">
      <c r="A1497">
        <v>6</v>
      </c>
      <c r="B1497">
        <v>5.9999999999999991E-2</v>
      </c>
      <c r="C1497">
        <v>0.17</v>
      </c>
      <c r="D1497">
        <v>0.85572178163161106</v>
      </c>
      <c r="E1497">
        <v>0.35162566534833445</v>
      </c>
      <c r="F1497">
        <v>0.10896601104229861</v>
      </c>
      <c r="G1497" s="166">
        <v>52.733846243273668</v>
      </c>
    </row>
    <row r="1498" spans="1:7" x14ac:dyDescent="0.25">
      <c r="A1498">
        <v>5</v>
      </c>
      <c r="B1498">
        <v>5.9999999999999991E-2</v>
      </c>
      <c r="C1498">
        <v>0.17</v>
      </c>
      <c r="D1498">
        <v>0.7239017635167595</v>
      </c>
      <c r="E1498">
        <v>0.29745934333712443</v>
      </c>
      <c r="F1498">
        <v>9.218029650537149E-2</v>
      </c>
      <c r="G1498" s="166">
        <v>52.033471350607236</v>
      </c>
    </row>
    <row r="1499" spans="1:7" x14ac:dyDescent="0.25">
      <c r="A1499">
        <v>4</v>
      </c>
      <c r="B1499">
        <v>5.9999999999999991E-2</v>
      </c>
      <c r="C1499">
        <v>0.17</v>
      </c>
      <c r="D1499">
        <v>0.59174807358126758</v>
      </c>
      <c r="E1499">
        <v>0.24315591183722415</v>
      </c>
      <c r="F1499">
        <v>7.5352092822938352E-2</v>
      </c>
      <c r="G1499" s="166">
        <v>51.043385744215179</v>
      </c>
    </row>
    <row r="1500" spans="1:7" x14ac:dyDescent="0.25">
      <c r="A1500">
        <v>3</v>
      </c>
      <c r="B1500">
        <v>5.9999999999999991E-2</v>
      </c>
      <c r="C1500">
        <v>0.17</v>
      </c>
      <c r="D1500">
        <v>0.45891956940602868</v>
      </c>
      <c r="E1500">
        <v>0.18857519160735237</v>
      </c>
      <c r="F1500">
        <v>5.8437959557458306E-2</v>
      </c>
      <c r="G1500" s="166">
        <v>49.539505347402404</v>
      </c>
    </row>
    <row r="1501" spans="1:7" x14ac:dyDescent="0.25">
      <c r="A1501">
        <v>2</v>
      </c>
      <c r="B1501">
        <v>5.9999999999999991E-2</v>
      </c>
      <c r="C1501">
        <v>0.17</v>
      </c>
      <c r="D1501">
        <v>0.32450040817821552</v>
      </c>
      <c r="E1501">
        <v>0.13334085257700318</v>
      </c>
      <c r="F1501">
        <v>4.1321274998233175E-2</v>
      </c>
      <c r="G1501" s="166">
        <v>46.989309035338188</v>
      </c>
    </row>
    <row r="1502" spans="1:7" x14ac:dyDescent="0.25">
      <c r="A1502">
        <v>1</v>
      </c>
      <c r="B1502">
        <v>5.9999999999999991E-2</v>
      </c>
      <c r="C1502">
        <v>0.17</v>
      </c>
      <c r="D1502">
        <v>0.18454980362257492</v>
      </c>
      <c r="E1502">
        <v>7.5833581523379559E-2</v>
      </c>
      <c r="F1502">
        <v>2.3500226792227154E-2</v>
      </c>
      <c r="G1502" s="166">
        <v>41.824645667676329</v>
      </c>
    </row>
    <row r="1503" spans="1:7" x14ac:dyDescent="0.25">
      <c r="A1503">
        <v>50</v>
      </c>
      <c r="B1503">
        <v>5.4999999999999993E-2</v>
      </c>
      <c r="C1503">
        <v>0.17</v>
      </c>
      <c r="D1503">
        <v>2.8178222403381001</v>
      </c>
      <c r="E1503">
        <v>1.1578747220890155</v>
      </c>
      <c r="F1503">
        <v>0.35881621333801689</v>
      </c>
      <c r="G1503" s="166">
        <v>70.17726275165623</v>
      </c>
    </row>
    <row r="1504" spans="1:7" x14ac:dyDescent="0.25">
      <c r="A1504">
        <v>49</v>
      </c>
      <c r="B1504">
        <v>5.4999999999999993E-2</v>
      </c>
      <c r="C1504">
        <v>0.17</v>
      </c>
      <c r="D1504">
        <v>2.8090473911513532</v>
      </c>
      <c r="E1504">
        <v>1.1542690382676477</v>
      </c>
      <c r="F1504">
        <v>0.35769884045596351</v>
      </c>
      <c r="G1504" s="166">
        <v>69.923744748035674</v>
      </c>
    </row>
    <row r="1505" spans="1:7" x14ac:dyDescent="0.25">
      <c r="A1505">
        <v>48</v>
      </c>
      <c r="B1505">
        <v>5.4999999999999993E-2</v>
      </c>
      <c r="C1505">
        <v>0.17</v>
      </c>
      <c r="D1505">
        <v>2.8002725419646066</v>
      </c>
      <c r="E1505">
        <v>1.1506633544462801</v>
      </c>
      <c r="F1505">
        <v>0.35658146757391018</v>
      </c>
      <c r="G1505" s="166">
        <v>69.668637911746472</v>
      </c>
    </row>
    <row r="1506" spans="1:7" x14ac:dyDescent="0.25">
      <c r="A1506">
        <v>47</v>
      </c>
      <c r="B1506">
        <v>5.4999999999999993E-2</v>
      </c>
      <c r="C1506">
        <v>0.17</v>
      </c>
      <c r="D1506">
        <v>2.7914976927778601</v>
      </c>
      <c r="E1506">
        <v>1.1470576706249123</v>
      </c>
      <c r="F1506">
        <v>0.35546409469185686</v>
      </c>
      <c r="G1506" s="166">
        <v>69.411927259684305</v>
      </c>
    </row>
    <row r="1507" spans="1:7" x14ac:dyDescent="0.25">
      <c r="A1507">
        <v>46</v>
      </c>
      <c r="B1507">
        <v>5.4999999999999993E-2</v>
      </c>
      <c r="C1507">
        <v>0.17</v>
      </c>
      <c r="D1507">
        <v>2.7819962374183085</v>
      </c>
      <c r="E1507">
        <v>1.1431534161881378</v>
      </c>
      <c r="F1507">
        <v>0.35425419713887796</v>
      </c>
      <c r="G1507" s="166">
        <v>69.142878717207793</v>
      </c>
    </row>
    <row r="1508" spans="1:7" x14ac:dyDescent="0.25">
      <c r="A1508">
        <v>45</v>
      </c>
      <c r="B1508">
        <v>5.4999999999999993E-2</v>
      </c>
      <c r="C1508">
        <v>0.17</v>
      </c>
      <c r="D1508">
        <v>2.7715097515074576</v>
      </c>
      <c r="E1508">
        <v>1.1388444016641202</v>
      </c>
      <c r="F1508">
        <v>0.35291886763799984</v>
      </c>
      <c r="G1508" s="166">
        <v>68.8572998419979</v>
      </c>
    </row>
    <row r="1509" spans="1:7" x14ac:dyDescent="0.25">
      <c r="A1509">
        <v>44</v>
      </c>
      <c r="B1509">
        <v>5.4999999999999993E-2</v>
      </c>
      <c r="C1509">
        <v>0.17</v>
      </c>
      <c r="D1509">
        <v>2.7610232655966067</v>
      </c>
      <c r="E1509">
        <v>1.1345353871401025</v>
      </c>
      <c r="F1509">
        <v>0.35158353813712168</v>
      </c>
      <c r="G1509" s="166">
        <v>68.569551684921635</v>
      </c>
    </row>
    <row r="1510" spans="1:7" x14ac:dyDescent="0.25">
      <c r="A1510">
        <v>43</v>
      </c>
      <c r="B1510">
        <v>5.4999999999999993E-2</v>
      </c>
      <c r="C1510">
        <v>0.17</v>
      </c>
      <c r="D1510">
        <v>2.7505367796857554</v>
      </c>
      <c r="E1510">
        <v>1.1302263726160846</v>
      </c>
      <c r="F1510">
        <v>0.35024820863624351</v>
      </c>
      <c r="G1510" s="166">
        <v>68.27960943466519</v>
      </c>
    </row>
    <row r="1511" spans="1:7" x14ac:dyDescent="0.25">
      <c r="A1511">
        <v>42</v>
      </c>
      <c r="B1511">
        <v>5.4999999999999993E-2</v>
      </c>
      <c r="C1511">
        <v>0.17</v>
      </c>
      <c r="D1511">
        <v>2.7398752045663861</v>
      </c>
      <c r="E1511">
        <v>1.1258454119750436</v>
      </c>
      <c r="F1511">
        <v>0.34889058360305764</v>
      </c>
      <c r="G1511" s="166">
        <v>67.985211432310919</v>
      </c>
    </row>
    <row r="1512" spans="1:7" x14ac:dyDescent="0.25">
      <c r="A1512">
        <v>41</v>
      </c>
      <c r="B1512">
        <v>5.4999999999999993E-2</v>
      </c>
      <c r="C1512">
        <v>0.17</v>
      </c>
      <c r="D1512">
        <v>2.7275011780087248</v>
      </c>
      <c r="E1512">
        <v>1.1207607858561672</v>
      </c>
      <c r="F1512">
        <v>0.34731489820686623</v>
      </c>
      <c r="G1512" s="166">
        <v>67.666352735179842</v>
      </c>
    </row>
    <row r="1513" spans="1:7" x14ac:dyDescent="0.25">
      <c r="A1513">
        <v>40</v>
      </c>
      <c r="B1513">
        <v>5.4999999999999993E-2</v>
      </c>
      <c r="C1513">
        <v>0.17</v>
      </c>
      <c r="D1513">
        <v>2.715127151451064</v>
      </c>
      <c r="E1513">
        <v>1.1156761597372908</v>
      </c>
      <c r="F1513">
        <v>0.34573921281067488</v>
      </c>
      <c r="G1513" s="166">
        <v>67.344587679881087</v>
      </c>
    </row>
    <row r="1514" spans="1:7" x14ac:dyDescent="0.25">
      <c r="A1514">
        <v>39</v>
      </c>
      <c r="B1514">
        <v>5.4999999999999993E-2</v>
      </c>
      <c r="C1514">
        <v>0.17</v>
      </c>
      <c r="D1514">
        <v>2.7027531248934027</v>
      </c>
      <c r="E1514">
        <v>1.1105915336184145</v>
      </c>
      <c r="F1514">
        <v>0.34416352741448353</v>
      </c>
      <c r="G1514" s="166">
        <v>67.019876347837368</v>
      </c>
    </row>
    <row r="1515" spans="1:7" x14ac:dyDescent="0.25">
      <c r="A1515">
        <v>38</v>
      </c>
      <c r="B1515">
        <v>5.4999999999999993E-2</v>
      </c>
      <c r="C1515">
        <v>0.17</v>
      </c>
      <c r="D1515">
        <v>2.6895764701295923</v>
      </c>
      <c r="E1515">
        <v>1.1051770985790774</v>
      </c>
      <c r="F1515">
        <v>0.34248563684383998</v>
      </c>
      <c r="G1515" s="166">
        <v>66.683358166759717</v>
      </c>
    </row>
    <row r="1516" spans="1:7" x14ac:dyDescent="0.25">
      <c r="A1516">
        <v>37</v>
      </c>
      <c r="B1516">
        <v>5.4999999999999993E-2</v>
      </c>
      <c r="C1516">
        <v>0.17</v>
      </c>
      <c r="D1516">
        <v>2.6751330014801433</v>
      </c>
      <c r="E1516">
        <v>1.0992421155240513</v>
      </c>
      <c r="F1516">
        <v>0.3406464325625792</v>
      </c>
      <c r="G1516" s="166">
        <v>66.329365414937911</v>
      </c>
    </row>
    <row r="1517" spans="1:7" x14ac:dyDescent="0.25">
      <c r="A1517">
        <v>36</v>
      </c>
      <c r="B1517">
        <v>5.4999999999999993E-2</v>
      </c>
      <c r="C1517">
        <v>0.17</v>
      </c>
      <c r="D1517">
        <v>2.6606895328306939</v>
      </c>
      <c r="E1517">
        <v>1.0933071324690251</v>
      </c>
      <c r="F1517">
        <v>0.33880722828131843</v>
      </c>
      <c r="G1517" s="166">
        <v>65.971529386288836</v>
      </c>
    </row>
    <row r="1518" spans="1:7" x14ac:dyDescent="0.25">
      <c r="A1518">
        <v>35</v>
      </c>
      <c r="B1518">
        <v>5.4999999999999993E-2</v>
      </c>
      <c r="C1518">
        <v>0.17</v>
      </c>
      <c r="D1518">
        <v>2.6458282779287465</v>
      </c>
      <c r="E1518">
        <v>1.0872004763630596</v>
      </c>
      <c r="F1518">
        <v>0.33691482388013516</v>
      </c>
      <c r="G1518" s="166">
        <v>65.605943607096762</v>
      </c>
    </row>
    <row r="1519" spans="1:7" x14ac:dyDescent="0.25">
      <c r="A1519">
        <v>34</v>
      </c>
      <c r="B1519">
        <v>5.4999999999999993E-2</v>
      </c>
      <c r="C1519">
        <v>0.17</v>
      </c>
      <c r="D1519">
        <v>2.629127295108094</v>
      </c>
      <c r="E1519">
        <v>1.0803378554477825</v>
      </c>
      <c r="F1519">
        <v>0.33478815196700168</v>
      </c>
      <c r="G1519" s="166">
        <v>65.218933731255376</v>
      </c>
    </row>
    <row r="1520" spans="1:7" x14ac:dyDescent="0.25">
      <c r="A1520">
        <v>33</v>
      </c>
      <c r="B1520">
        <v>5.4999999999999993E-2</v>
      </c>
      <c r="C1520">
        <v>0.17</v>
      </c>
      <c r="D1520">
        <v>2.6124263122874405</v>
      </c>
      <c r="E1520">
        <v>1.0734752345325054</v>
      </c>
      <c r="F1520">
        <v>0.33266148005386814</v>
      </c>
      <c r="G1520" s="166">
        <v>64.826975623758656</v>
      </c>
    </row>
    <row r="1521" spans="1:7" x14ac:dyDescent="0.25">
      <c r="A1521">
        <v>32</v>
      </c>
      <c r="B1521">
        <v>5.4999999999999993E-2</v>
      </c>
      <c r="C1521">
        <v>0.17</v>
      </c>
      <c r="D1521">
        <v>2.5947673887734966</v>
      </c>
      <c r="E1521">
        <v>1.066218985056085</v>
      </c>
      <c r="F1521">
        <v>0.33041282576468251</v>
      </c>
      <c r="G1521" s="166">
        <v>64.422724438005901</v>
      </c>
    </row>
    <row r="1522" spans="1:7" x14ac:dyDescent="0.25">
      <c r="A1522">
        <v>31</v>
      </c>
      <c r="B1522">
        <v>5.4999999999999993E-2</v>
      </c>
      <c r="C1522">
        <v>0.17</v>
      </c>
      <c r="D1522">
        <v>2.5756144712045583</v>
      </c>
      <c r="E1522">
        <v>1.058348836687653</v>
      </c>
      <c r="F1522">
        <v>0.32797392906705508</v>
      </c>
      <c r="G1522" s="166">
        <v>64.0013012474014</v>
      </c>
    </row>
    <row r="1523" spans="1:7" x14ac:dyDescent="0.25">
      <c r="A1523">
        <v>30</v>
      </c>
      <c r="B1523">
        <v>5.4999999999999993E-2</v>
      </c>
      <c r="C1523">
        <v>0.17</v>
      </c>
      <c r="D1523">
        <v>2.5564615536356197</v>
      </c>
      <c r="E1523">
        <v>1.050478688319221</v>
      </c>
      <c r="F1523">
        <v>0.32553503236942766</v>
      </c>
      <c r="G1523" s="166">
        <v>63.573563482169469</v>
      </c>
    </row>
    <row r="1524" spans="1:7" x14ac:dyDescent="0.25">
      <c r="A1524">
        <v>29</v>
      </c>
      <c r="B1524">
        <v>5.4999999999999993E-2</v>
      </c>
      <c r="C1524">
        <v>0.17</v>
      </c>
      <c r="D1524">
        <v>2.5348337151740301</v>
      </c>
      <c r="E1524">
        <v>1.0415915672334373</v>
      </c>
      <c r="F1524">
        <v>0.32278098387467852</v>
      </c>
      <c r="G1524" s="166">
        <v>63.12430560614515</v>
      </c>
    </row>
    <row r="1525" spans="1:7" x14ac:dyDescent="0.25">
      <c r="A1525">
        <v>28</v>
      </c>
      <c r="B1525">
        <v>5.4999999999999993E-2</v>
      </c>
      <c r="C1525">
        <v>0.17</v>
      </c>
      <c r="D1525">
        <v>2.5130279110396487</v>
      </c>
      <c r="E1525">
        <v>1.0326313180592399</v>
      </c>
      <c r="F1525">
        <v>0.32000427356404149</v>
      </c>
      <c r="G1525" s="166">
        <v>62.666189454528983</v>
      </c>
    </row>
    <row r="1526" spans="1:7" x14ac:dyDescent="0.25">
      <c r="A1526">
        <v>27</v>
      </c>
      <c r="B1526">
        <v>5.4999999999999993E-2</v>
      </c>
      <c r="C1526">
        <v>0.17</v>
      </c>
      <c r="D1526">
        <v>2.4890600456391034</v>
      </c>
      <c r="E1526">
        <v>1.0227826536926781</v>
      </c>
      <c r="F1526">
        <v>0.31695225041591446</v>
      </c>
      <c r="G1526" s="166">
        <v>62.190301741478045</v>
      </c>
    </row>
    <row r="1527" spans="1:7" x14ac:dyDescent="0.25">
      <c r="A1527">
        <v>26</v>
      </c>
      <c r="B1527">
        <v>5.4999999999999993E-2</v>
      </c>
      <c r="C1527">
        <v>0.17</v>
      </c>
      <c r="D1527">
        <v>2.4643936841288956</v>
      </c>
      <c r="E1527">
        <v>1.0126469694505265</v>
      </c>
      <c r="F1527">
        <v>0.31381128207972253</v>
      </c>
      <c r="G1527" s="166">
        <v>61.701837712671612</v>
      </c>
    </row>
    <row r="1528" spans="1:7" x14ac:dyDescent="0.25">
      <c r="A1528">
        <v>25</v>
      </c>
      <c r="B1528">
        <v>5.4999999999999993E-2</v>
      </c>
      <c r="C1528">
        <v>0.17</v>
      </c>
      <c r="D1528">
        <v>2.4372205425666369</v>
      </c>
      <c r="E1528">
        <v>1.0014812212055588</v>
      </c>
      <c r="F1528">
        <v>0.31035110506064351</v>
      </c>
      <c r="G1528" s="166">
        <v>61.195865332626049</v>
      </c>
    </row>
    <row r="1529" spans="1:7" x14ac:dyDescent="0.25">
      <c r="A1529">
        <v>24</v>
      </c>
      <c r="B1529">
        <v>5.4999999999999993E-2</v>
      </c>
      <c r="C1529">
        <v>0.17</v>
      </c>
      <c r="D1529">
        <v>2.4091769636188616</v>
      </c>
      <c r="E1529">
        <v>0.98995780048877136</v>
      </c>
      <c r="F1529">
        <v>0.30678008817304914</v>
      </c>
      <c r="G1529" s="166">
        <v>60.677219732442836</v>
      </c>
    </row>
    <row r="1530" spans="1:7" x14ac:dyDescent="0.25">
      <c r="A1530">
        <v>23</v>
      </c>
      <c r="B1530">
        <v>5.4999999999999993E-2</v>
      </c>
      <c r="C1530">
        <v>0.17</v>
      </c>
      <c r="D1530">
        <v>2.3768127842016398</v>
      </c>
      <c r="E1530">
        <v>0.9766589966423449</v>
      </c>
      <c r="F1530">
        <v>0.30265889410337415</v>
      </c>
      <c r="G1530" s="166">
        <v>60.071926995064494</v>
      </c>
    </row>
    <row r="1531" spans="1:7" x14ac:dyDescent="0.25">
      <c r="A1531">
        <v>22</v>
      </c>
      <c r="B1531">
        <v>5.4999999999999993E-2</v>
      </c>
      <c r="C1531">
        <v>0.17</v>
      </c>
      <c r="D1531">
        <v>2.3402201516349455</v>
      </c>
      <c r="E1531">
        <v>0.96162267403223478</v>
      </c>
      <c r="F1531">
        <v>0.29799925671898214</v>
      </c>
      <c r="G1531" s="166">
        <v>59.334327505696422</v>
      </c>
    </row>
    <row r="1532" spans="1:7" x14ac:dyDescent="0.25">
      <c r="A1532">
        <v>21</v>
      </c>
      <c r="B1532">
        <v>5.4999999999999993E-2</v>
      </c>
      <c r="C1532">
        <v>0.17</v>
      </c>
      <c r="D1532">
        <v>2.2989816725002461</v>
      </c>
      <c r="E1532">
        <v>0.94467732102737867</v>
      </c>
      <c r="F1532">
        <v>0.29274802592269311</v>
      </c>
      <c r="G1532" s="166">
        <v>58.601041196925948</v>
      </c>
    </row>
    <row r="1533" spans="1:7" x14ac:dyDescent="0.25">
      <c r="A1533">
        <v>20</v>
      </c>
      <c r="B1533">
        <v>5.4999999999999993E-2</v>
      </c>
      <c r="C1533">
        <v>0.17</v>
      </c>
      <c r="D1533">
        <v>2.2520033736217635</v>
      </c>
      <c r="E1533">
        <v>0.92537341179582577</v>
      </c>
      <c r="F1533">
        <v>0.28676589721658413</v>
      </c>
      <c r="G1533" s="166">
        <v>57.884340458427722</v>
      </c>
    </row>
    <row r="1534" spans="1:7" x14ac:dyDescent="0.25">
      <c r="A1534">
        <v>19</v>
      </c>
      <c r="B1534">
        <v>5.4999999999999993E-2</v>
      </c>
      <c r="C1534">
        <v>0.17</v>
      </c>
      <c r="D1534">
        <v>2.1991056274374925</v>
      </c>
      <c r="E1534">
        <v>0.90363713536026913</v>
      </c>
      <c r="F1534">
        <v>0.28002999716290355</v>
      </c>
      <c r="G1534" s="166">
        <v>57.191946889975256</v>
      </c>
    </row>
    <row r="1535" spans="1:7" x14ac:dyDescent="0.25">
      <c r="A1535">
        <v>18</v>
      </c>
      <c r="B1535">
        <v>5.4999999999999993E-2</v>
      </c>
      <c r="C1535">
        <v>0.17</v>
      </c>
      <c r="D1535">
        <v>2.1390792234291185</v>
      </c>
      <c r="E1535">
        <v>0.87897161357389153</v>
      </c>
      <c r="F1535">
        <v>0.27238634715608184</v>
      </c>
      <c r="G1535" s="166">
        <v>56.543033189718777</v>
      </c>
    </row>
    <row r="1536" spans="1:7" x14ac:dyDescent="0.25">
      <c r="A1536">
        <v>17</v>
      </c>
      <c r="B1536">
        <v>5.4999999999999993E-2</v>
      </c>
      <c r="C1536">
        <v>0.17</v>
      </c>
      <c r="D1536">
        <v>2.0704064132373632</v>
      </c>
      <c r="E1536">
        <v>0.85075318663496946</v>
      </c>
      <c r="F1536">
        <v>0.26364167995900223</v>
      </c>
      <c r="G1536" s="166">
        <v>55.967752983282566</v>
      </c>
    </row>
    <row r="1537" spans="1:7" x14ac:dyDescent="0.25">
      <c r="A1537">
        <v>16</v>
      </c>
      <c r="B1537">
        <v>5.4999999999999993E-2</v>
      </c>
      <c r="C1537">
        <v>0.17</v>
      </c>
      <c r="D1537">
        <v>1.9915315569363894</v>
      </c>
      <c r="E1537">
        <v>0.8183426246726424</v>
      </c>
      <c r="F1537">
        <v>0.25359790329333864</v>
      </c>
      <c r="G1537" s="166">
        <v>55.506546449476495</v>
      </c>
    </row>
    <row r="1538" spans="1:7" x14ac:dyDescent="0.25">
      <c r="A1538">
        <v>15</v>
      </c>
      <c r="B1538">
        <v>5.4999999999999993E-2</v>
      </c>
      <c r="C1538">
        <v>0.17</v>
      </c>
      <c r="D1538">
        <v>1.9008673627161099</v>
      </c>
      <c r="E1538">
        <v>0.78108769170226644</v>
      </c>
      <c r="F1538">
        <v>0.24205289438902972</v>
      </c>
      <c r="G1538" s="166">
        <v>55.213289010286765</v>
      </c>
    </row>
    <row r="1539" spans="1:7" x14ac:dyDescent="0.25">
      <c r="A1539">
        <v>14</v>
      </c>
      <c r="B1539">
        <v>5.4999999999999993E-2</v>
      </c>
      <c r="C1539">
        <v>0.17</v>
      </c>
      <c r="D1539">
        <v>1.7951664389766178</v>
      </c>
      <c r="E1539">
        <v>0.73765399814013044</v>
      </c>
      <c r="F1539">
        <v>0.22859313647400087</v>
      </c>
      <c r="G1539" s="166">
        <v>55.197180744781846</v>
      </c>
    </row>
    <row r="1540" spans="1:7" x14ac:dyDescent="0.25">
      <c r="A1540">
        <v>13</v>
      </c>
      <c r="B1540">
        <v>5.4999999999999993E-2</v>
      </c>
      <c r="C1540">
        <v>0.17</v>
      </c>
      <c r="D1540">
        <v>1.6737043538387044</v>
      </c>
      <c r="E1540">
        <v>0.68774386681242139</v>
      </c>
      <c r="F1540">
        <v>0.21312638174780615</v>
      </c>
      <c r="G1540" s="166">
        <v>55.305222466575763</v>
      </c>
    </row>
    <row r="1541" spans="1:7" x14ac:dyDescent="0.25">
      <c r="A1541">
        <v>12</v>
      </c>
      <c r="B1541">
        <v>5.4999999999999993E-2</v>
      </c>
      <c r="C1541">
        <v>0.17</v>
      </c>
      <c r="D1541">
        <v>1.55030737061992</v>
      </c>
      <c r="E1541">
        <v>0.63703866418972888</v>
      </c>
      <c r="F1541">
        <v>0.19741324071922714</v>
      </c>
      <c r="G1541" s="166">
        <v>55.13393486189068</v>
      </c>
    </row>
    <row r="1542" spans="1:7" x14ac:dyDescent="0.25">
      <c r="A1542">
        <v>11</v>
      </c>
      <c r="B1542">
        <v>5.4999999999999993E-2</v>
      </c>
      <c r="C1542">
        <v>0.17</v>
      </c>
      <c r="D1542">
        <v>1.4267559679800059</v>
      </c>
      <c r="E1542">
        <v>0.58627000889718139</v>
      </c>
      <c r="F1542">
        <v>0.18168043621040353</v>
      </c>
      <c r="G1542" s="166">
        <v>54.937612088738632</v>
      </c>
    </row>
    <row r="1543" spans="1:7" x14ac:dyDescent="0.25">
      <c r="A1543">
        <v>10</v>
      </c>
      <c r="B1543">
        <v>5.4999999999999993E-2</v>
      </c>
      <c r="C1543">
        <v>0.17</v>
      </c>
      <c r="D1543">
        <v>1.3032045653400908</v>
      </c>
      <c r="E1543">
        <v>0.53550135360463369</v>
      </c>
      <c r="F1543">
        <v>0.16594763170157983</v>
      </c>
      <c r="G1543" s="166">
        <v>54.704064225008828</v>
      </c>
    </row>
    <row r="1544" spans="1:7" x14ac:dyDescent="0.25">
      <c r="A1544">
        <v>9</v>
      </c>
      <c r="B1544">
        <v>5.4999999999999993E-2</v>
      </c>
      <c r="C1544">
        <v>0.17</v>
      </c>
      <c r="D1544">
        <v>1.1796531627001769</v>
      </c>
      <c r="E1544">
        <v>0.48473269831208637</v>
      </c>
      <c r="F1544">
        <v>0.15021482719275628</v>
      </c>
      <c r="G1544" s="166">
        <v>54.421594920537309</v>
      </c>
    </row>
    <row r="1545" spans="1:7" x14ac:dyDescent="0.25">
      <c r="A1545">
        <v>8</v>
      </c>
      <c r="B1545">
        <v>5.4999999999999993E-2</v>
      </c>
      <c r="C1545">
        <v>0.17</v>
      </c>
      <c r="D1545">
        <v>1.056101760060262</v>
      </c>
      <c r="E1545">
        <v>0.43396404301953867</v>
      </c>
      <c r="F1545">
        <v>0.13448202268393258</v>
      </c>
      <c r="G1545" s="166">
        <v>54.073034487180365</v>
      </c>
    </row>
    <row r="1546" spans="1:7" x14ac:dyDescent="0.25">
      <c r="A1546">
        <v>7</v>
      </c>
      <c r="B1546">
        <v>5.4999999999999993E-2</v>
      </c>
      <c r="C1546">
        <v>0.17</v>
      </c>
      <c r="D1546">
        <v>0.93229997298214029</v>
      </c>
      <c r="E1546">
        <v>0.38309250195667732</v>
      </c>
      <c r="F1546">
        <v>0.11871733468909262</v>
      </c>
      <c r="G1546" s="166">
        <v>53.643378645706157</v>
      </c>
    </row>
    <row r="1547" spans="1:7" x14ac:dyDescent="0.25">
      <c r="A1547">
        <v>6</v>
      </c>
      <c r="B1547">
        <v>5.4999999999999993E-2</v>
      </c>
      <c r="C1547">
        <v>0.17</v>
      </c>
      <c r="D1547">
        <v>0.80848264284545546</v>
      </c>
      <c r="E1547">
        <v>0.33221457407694843</v>
      </c>
      <c r="F1547">
        <v>0.10295066747024859</v>
      </c>
      <c r="G1547" s="166">
        <v>53.082935949818733</v>
      </c>
    </row>
    <row r="1548" spans="1:7" x14ac:dyDescent="0.25">
      <c r="A1548">
        <v>5</v>
      </c>
      <c r="B1548">
        <v>5.4999999999999993E-2</v>
      </c>
      <c r="C1548">
        <v>0.17</v>
      </c>
      <c r="D1548">
        <v>0.68435799606322467</v>
      </c>
      <c r="E1548">
        <v>0.28121036634519025</v>
      </c>
      <c r="F1548">
        <v>8.7144867124597625E-2</v>
      </c>
      <c r="G1548" s="166">
        <v>52.338382112878108</v>
      </c>
    </row>
    <row r="1549" spans="1:7" x14ac:dyDescent="0.25">
      <c r="A1549">
        <v>4</v>
      </c>
      <c r="B1549">
        <v>5.4999999999999993E-2</v>
      </c>
      <c r="C1549">
        <v>0.17</v>
      </c>
      <c r="D1549">
        <v>0.55990506489329095</v>
      </c>
      <c r="E1549">
        <v>0.23007126288128252</v>
      </c>
      <c r="F1549">
        <v>7.1297263659073712E-2</v>
      </c>
      <c r="G1549" s="166">
        <v>51.287914620550737</v>
      </c>
    </row>
    <row r="1550" spans="1:7" x14ac:dyDescent="0.25">
      <c r="A1550">
        <v>3</v>
      </c>
      <c r="B1550">
        <v>5.4999999999999993E-2</v>
      </c>
      <c r="C1550">
        <v>0.17</v>
      </c>
      <c r="D1550">
        <v>0.43476812324083663</v>
      </c>
      <c r="E1550">
        <v>0.17865109184823691</v>
      </c>
      <c r="F1550">
        <v>5.5362559578149673E-2</v>
      </c>
      <c r="G1550" s="166">
        <v>49.698993773244531</v>
      </c>
    </row>
    <row r="1551" spans="1:7" x14ac:dyDescent="0.25">
      <c r="A1551">
        <v>2</v>
      </c>
      <c r="B1551">
        <v>5.4999999999999993E-2</v>
      </c>
      <c r="C1551">
        <v>0.17</v>
      </c>
      <c r="D1551">
        <v>0.30804008479894762</v>
      </c>
      <c r="E1551">
        <v>0.12657712132191226</v>
      </c>
      <c r="F1551">
        <v>3.92252482082113E-2</v>
      </c>
      <c r="G1551" s="166">
        <v>47.021027092557645</v>
      </c>
    </row>
    <row r="1552" spans="1:7" x14ac:dyDescent="0.25">
      <c r="A1552">
        <v>1</v>
      </c>
      <c r="B1552">
        <v>5.4999999999999993E-2</v>
      </c>
      <c r="C1552">
        <v>0.17</v>
      </c>
      <c r="D1552">
        <v>0.17571317509769829</v>
      </c>
      <c r="E1552">
        <v>7.2202511879959561E-2</v>
      </c>
      <c r="F1552">
        <v>2.2374987044814807E-2</v>
      </c>
      <c r="G1552" s="166">
        <v>41.679587459367447</v>
      </c>
    </row>
    <row r="1553" spans="1:7" x14ac:dyDescent="0.25">
      <c r="A1553">
        <v>50</v>
      </c>
      <c r="B1553">
        <v>4.9999999999999996E-2</v>
      </c>
      <c r="C1553">
        <v>0.17</v>
      </c>
      <c r="D1553">
        <v>2.8117812752905107</v>
      </c>
      <c r="E1553">
        <v>1.1553924218837379</v>
      </c>
      <c r="F1553">
        <v>0.35804696814850367</v>
      </c>
      <c r="G1553" s="166">
        <v>70.030867236454213</v>
      </c>
    </row>
    <row r="1554" spans="1:7" x14ac:dyDescent="0.25">
      <c r="A1554">
        <v>49</v>
      </c>
      <c r="B1554">
        <v>4.9999999999999996E-2</v>
      </c>
      <c r="C1554">
        <v>0.17</v>
      </c>
      <c r="D1554">
        <v>2.8031260311649451</v>
      </c>
      <c r="E1554">
        <v>1.1518358851217529</v>
      </c>
      <c r="F1554">
        <v>0.35694482555121948</v>
      </c>
      <c r="G1554" s="166">
        <v>69.779267414887499</v>
      </c>
    </row>
    <row r="1555" spans="1:7" x14ac:dyDescent="0.25">
      <c r="A1555">
        <v>48</v>
      </c>
      <c r="B1555">
        <v>4.9999999999999996E-2</v>
      </c>
      <c r="C1555">
        <v>0.17</v>
      </c>
      <c r="D1555">
        <v>2.7944707870393799</v>
      </c>
      <c r="E1555">
        <v>1.1482793483597677</v>
      </c>
      <c r="F1555">
        <v>0.35584268295393523</v>
      </c>
      <c r="G1555" s="166">
        <v>69.52610904571479</v>
      </c>
    </row>
    <row r="1556" spans="1:7" x14ac:dyDescent="0.25">
      <c r="A1556">
        <v>47</v>
      </c>
      <c r="B1556">
        <v>4.9999999999999996E-2</v>
      </c>
      <c r="C1556">
        <v>0.17</v>
      </c>
      <c r="D1556">
        <v>2.785018826477561</v>
      </c>
      <c r="E1556">
        <v>1.1443954318897922</v>
      </c>
      <c r="F1556">
        <v>0.35463908797591948</v>
      </c>
      <c r="G1556" s="166">
        <v>69.259670881562585</v>
      </c>
    </row>
    <row r="1557" spans="1:7" x14ac:dyDescent="0.25">
      <c r="A1557">
        <v>46</v>
      </c>
      <c r="B1557">
        <v>4.9999999999999996E-2</v>
      </c>
      <c r="C1557">
        <v>0.17</v>
      </c>
      <c r="D1557">
        <v>2.7746895475250506</v>
      </c>
      <c r="E1557">
        <v>1.1401510154658936</v>
      </c>
      <c r="F1557">
        <v>0.35332377691506023</v>
      </c>
      <c r="G1557" s="166">
        <v>68.978390480662341</v>
      </c>
    </row>
    <row r="1558" spans="1:7" x14ac:dyDescent="0.25">
      <c r="A1558">
        <v>45</v>
      </c>
      <c r="B1558">
        <v>4.9999999999999996E-2</v>
      </c>
      <c r="C1558">
        <v>0.17</v>
      </c>
      <c r="D1558">
        <v>2.7643602685725397</v>
      </c>
      <c r="E1558">
        <v>1.1359065990419948</v>
      </c>
      <c r="F1558">
        <v>0.35200846585420092</v>
      </c>
      <c r="G1558" s="166">
        <v>68.695008021099326</v>
      </c>
    </row>
    <row r="1559" spans="1:7" x14ac:dyDescent="0.25">
      <c r="A1559">
        <v>44</v>
      </c>
      <c r="B1559">
        <v>4.9999999999999996E-2</v>
      </c>
      <c r="C1559">
        <v>0.17</v>
      </c>
      <c r="D1559">
        <v>2.7540309896200288</v>
      </c>
      <c r="E1559">
        <v>1.1316621826180959</v>
      </c>
      <c r="F1559">
        <v>0.35069315479334162</v>
      </c>
      <c r="G1559" s="166">
        <v>68.409499850906272</v>
      </c>
    </row>
    <row r="1560" spans="1:7" x14ac:dyDescent="0.25">
      <c r="A1560">
        <v>43</v>
      </c>
      <c r="B1560">
        <v>4.9999999999999996E-2</v>
      </c>
      <c r="C1560">
        <v>0.17</v>
      </c>
      <c r="D1560">
        <v>2.7434539632236388</v>
      </c>
      <c r="E1560">
        <v>1.1273159639943906</v>
      </c>
      <c r="F1560">
        <v>0.34934629603639122</v>
      </c>
      <c r="G1560" s="166">
        <v>68.118693672914134</v>
      </c>
    </row>
    <row r="1561" spans="1:7" x14ac:dyDescent="0.25">
      <c r="A1561">
        <v>42</v>
      </c>
      <c r="B1561">
        <v>4.9999999999999996E-2</v>
      </c>
      <c r="C1561">
        <v>0.17</v>
      </c>
      <c r="D1561">
        <v>2.7312823513247726</v>
      </c>
      <c r="E1561">
        <v>1.1223145123261393</v>
      </c>
      <c r="F1561">
        <v>0.34779638574423349</v>
      </c>
      <c r="G1561" s="166">
        <v>67.805109811049391</v>
      </c>
    </row>
    <row r="1562" spans="1:7" x14ac:dyDescent="0.25">
      <c r="A1562">
        <v>41</v>
      </c>
      <c r="B1562">
        <v>4.9999999999999996E-2</v>
      </c>
      <c r="C1562">
        <v>0.17</v>
      </c>
      <c r="D1562">
        <v>2.7191107394259069</v>
      </c>
      <c r="E1562">
        <v>1.117313060657888</v>
      </c>
      <c r="F1562">
        <v>0.34624647545207576</v>
      </c>
      <c r="G1562" s="166">
        <v>67.488718545272008</v>
      </c>
    </row>
    <row r="1563" spans="1:7" x14ac:dyDescent="0.25">
      <c r="A1563">
        <v>40</v>
      </c>
      <c r="B1563">
        <v>4.9999999999999996E-2</v>
      </c>
      <c r="C1563">
        <v>0.17</v>
      </c>
      <c r="D1563">
        <v>2.7069391275270411</v>
      </c>
      <c r="E1563">
        <v>1.1123116089896368</v>
      </c>
      <c r="F1563">
        <v>0.34469656515991798</v>
      </c>
      <c r="G1563" s="166">
        <v>67.169482005542164</v>
      </c>
    </row>
    <row r="1564" spans="1:7" x14ac:dyDescent="0.25">
      <c r="A1564">
        <v>39</v>
      </c>
      <c r="B1564">
        <v>4.9999999999999996E-2</v>
      </c>
      <c r="C1564">
        <v>0.17</v>
      </c>
      <c r="D1564">
        <v>2.6939228209507071</v>
      </c>
      <c r="E1564">
        <v>1.1069630628166567</v>
      </c>
      <c r="F1564">
        <v>0.34303909302753588</v>
      </c>
      <c r="G1564" s="166">
        <v>66.838143092809929</v>
      </c>
    </row>
    <row r="1565" spans="1:7" x14ac:dyDescent="0.25">
      <c r="A1565">
        <v>38</v>
      </c>
      <c r="B1565">
        <v>4.9999999999999996E-2</v>
      </c>
      <c r="C1565">
        <v>0.17</v>
      </c>
      <c r="D1565">
        <v>2.6797354426038504</v>
      </c>
      <c r="E1565">
        <v>1.1011333101355341</v>
      </c>
      <c r="F1565">
        <v>0.34123249880638939</v>
      </c>
      <c r="G1565" s="166">
        <v>66.490588407952359</v>
      </c>
    </row>
    <row r="1566" spans="1:7" x14ac:dyDescent="0.25">
      <c r="A1566">
        <v>37</v>
      </c>
      <c r="B1566">
        <v>4.9999999999999996E-2</v>
      </c>
      <c r="C1566">
        <v>0.17</v>
      </c>
      <c r="D1566">
        <v>2.6655480642569938</v>
      </c>
      <c r="E1566">
        <v>1.0953035574544112</v>
      </c>
      <c r="F1566">
        <v>0.33942590458524297</v>
      </c>
      <c r="G1566" s="166">
        <v>66.139334003793962</v>
      </c>
    </row>
    <row r="1567" spans="1:7" x14ac:dyDescent="0.25">
      <c r="A1567">
        <v>36</v>
      </c>
      <c r="B1567">
        <v>4.9999999999999996E-2</v>
      </c>
      <c r="C1567">
        <v>0.17</v>
      </c>
      <c r="D1567">
        <v>2.6509105227324659</v>
      </c>
      <c r="E1567">
        <v>1.0892888276811288</v>
      </c>
      <c r="F1567">
        <v>0.3375619874270836</v>
      </c>
      <c r="G1567" s="166">
        <v>65.780216663576525</v>
      </c>
    </row>
    <row r="1568" spans="1:7" x14ac:dyDescent="0.25">
      <c r="A1568">
        <v>35</v>
      </c>
      <c r="B1568">
        <v>4.9999999999999996E-2</v>
      </c>
      <c r="C1568">
        <v>0.17</v>
      </c>
      <c r="D1568">
        <v>2.6345286790561775</v>
      </c>
      <c r="E1568">
        <v>1.082557344615074</v>
      </c>
      <c r="F1568">
        <v>0.33547595409564257</v>
      </c>
      <c r="G1568" s="166">
        <v>65.400867827318834</v>
      </c>
    </row>
    <row r="1569" spans="1:7" x14ac:dyDescent="0.25">
      <c r="A1569">
        <v>34</v>
      </c>
      <c r="B1569">
        <v>4.9999999999999996E-2</v>
      </c>
      <c r="C1569">
        <v>0.17</v>
      </c>
      <c r="D1569">
        <v>2.6181468353798891</v>
      </c>
      <c r="E1569">
        <v>1.0758258615490195</v>
      </c>
      <c r="F1569">
        <v>0.3333899207642016</v>
      </c>
      <c r="G1569" s="166">
        <v>65.016771791056669</v>
      </c>
    </row>
    <row r="1570" spans="1:7" x14ac:dyDescent="0.25">
      <c r="A1570">
        <v>33</v>
      </c>
      <c r="B1570">
        <v>4.9999999999999996E-2</v>
      </c>
      <c r="C1570">
        <v>0.17</v>
      </c>
      <c r="D1570">
        <v>2.6008155137313493</v>
      </c>
      <c r="E1570">
        <v>1.0687042273486909</v>
      </c>
      <c r="F1570">
        <v>0.33118298268377599</v>
      </c>
      <c r="G1570" s="166">
        <v>64.620742534519962</v>
      </c>
    </row>
    <row r="1571" spans="1:7" x14ac:dyDescent="0.25">
      <c r="A1571">
        <v>32</v>
      </c>
      <c r="B1571">
        <v>4.9999999999999996E-2</v>
      </c>
      <c r="C1571">
        <v>0.17</v>
      </c>
      <c r="D1571">
        <v>2.5820551073753633</v>
      </c>
      <c r="E1571">
        <v>1.0609953662343332</v>
      </c>
      <c r="F1571">
        <v>0.32879406762981228</v>
      </c>
      <c r="G1571" s="166">
        <v>64.208415181112912</v>
      </c>
    </row>
    <row r="1572" spans="1:7" x14ac:dyDescent="0.25">
      <c r="A1572">
        <v>31</v>
      </c>
      <c r="B1572">
        <v>4.9999999999999996E-2</v>
      </c>
      <c r="C1572">
        <v>0.17</v>
      </c>
      <c r="D1572">
        <v>2.5632947010193781</v>
      </c>
      <c r="E1572">
        <v>1.053286505119976</v>
      </c>
      <c r="F1572">
        <v>0.32640515257584868</v>
      </c>
      <c r="G1572" s="166">
        <v>63.790052291722759</v>
      </c>
    </row>
    <row r="1573" spans="1:7" x14ac:dyDescent="0.25">
      <c r="A1573">
        <v>30</v>
      </c>
      <c r="B1573">
        <v>4.9999999999999996E-2</v>
      </c>
      <c r="C1573">
        <v>0.17</v>
      </c>
      <c r="D1573">
        <v>2.5421471614475535</v>
      </c>
      <c r="E1573">
        <v>1.0445967442280133</v>
      </c>
      <c r="F1573">
        <v>0.32371226444332141</v>
      </c>
      <c r="G1573" s="166">
        <v>63.351246270236338</v>
      </c>
    </row>
    <row r="1574" spans="1:7" x14ac:dyDescent="0.25">
      <c r="A1574">
        <v>29</v>
      </c>
      <c r="B1574">
        <v>4.9999999999999996E-2</v>
      </c>
      <c r="C1574">
        <v>0.17</v>
      </c>
      <c r="D1574">
        <v>2.5208185603406026</v>
      </c>
      <c r="E1574">
        <v>1.0358325831231259</v>
      </c>
      <c r="F1574">
        <v>0.32099632027358738</v>
      </c>
      <c r="G1574" s="166">
        <v>62.903953445601644</v>
      </c>
    </row>
    <row r="1575" spans="1:7" x14ac:dyDescent="0.25">
      <c r="A1575">
        <v>28</v>
      </c>
      <c r="B1575">
        <v>4.9999999999999996E-2</v>
      </c>
      <c r="C1575">
        <v>0.17</v>
      </c>
      <c r="D1575">
        <v>2.4974442896651809</v>
      </c>
      <c r="E1575">
        <v>1.0262278334782049</v>
      </c>
      <c r="F1575">
        <v>0.31801988436743656</v>
      </c>
      <c r="G1575" s="166">
        <v>62.440035112020034</v>
      </c>
    </row>
    <row r="1576" spans="1:7" x14ac:dyDescent="0.25">
      <c r="A1576">
        <v>27</v>
      </c>
      <c r="B1576">
        <v>4.9999999999999996E-2</v>
      </c>
      <c r="C1576">
        <v>0.17</v>
      </c>
      <c r="D1576">
        <v>2.4733521875262894</v>
      </c>
      <c r="E1576">
        <v>1.0163281188442321</v>
      </c>
      <c r="F1576">
        <v>0.31495204114543379</v>
      </c>
      <c r="G1576" s="166">
        <v>61.964025061140241</v>
      </c>
    </row>
    <row r="1577" spans="1:7" x14ac:dyDescent="0.25">
      <c r="A1577">
        <v>26</v>
      </c>
      <c r="B1577">
        <v>4.9999999999999996E-2</v>
      </c>
      <c r="C1577">
        <v>0.17</v>
      </c>
      <c r="D1577">
        <v>2.4469261079336215</v>
      </c>
      <c r="E1577">
        <v>1.0054693467307039</v>
      </c>
      <c r="F1577">
        <v>0.31158699360018038</v>
      </c>
      <c r="G1577" s="166">
        <v>61.471835854527328</v>
      </c>
    </row>
    <row r="1578" spans="1:7" x14ac:dyDescent="0.25">
      <c r="A1578">
        <v>25</v>
      </c>
      <c r="B1578">
        <v>4.9999999999999996E-2</v>
      </c>
      <c r="C1578">
        <v>0.17</v>
      </c>
      <c r="D1578">
        <v>2.4197576466942179</v>
      </c>
      <c r="E1578">
        <v>0.99430552168282382</v>
      </c>
      <c r="F1578">
        <v>0.30812741256465925</v>
      </c>
      <c r="G1578" s="166">
        <v>60.966758591026675</v>
      </c>
    </row>
    <row r="1579" spans="1:7" x14ac:dyDescent="0.25">
      <c r="A1579">
        <v>24</v>
      </c>
      <c r="B1579">
        <v>4.9999999999999996E-2</v>
      </c>
      <c r="C1579">
        <v>0.17</v>
      </c>
      <c r="D1579">
        <v>2.3882300555495992</v>
      </c>
      <c r="E1579">
        <v>0.98135048132856384</v>
      </c>
      <c r="F1579">
        <v>0.30411274808077615</v>
      </c>
      <c r="G1579" s="166">
        <v>60.375781990138222</v>
      </c>
    </row>
    <row r="1580" spans="1:7" x14ac:dyDescent="0.25">
      <c r="A1580">
        <v>23</v>
      </c>
      <c r="B1580">
        <v>4.9999999999999996E-2</v>
      </c>
      <c r="C1580">
        <v>0.17</v>
      </c>
      <c r="D1580">
        <v>2.352459193994699</v>
      </c>
      <c r="E1580">
        <v>0.96665183363217999</v>
      </c>
      <c r="F1580">
        <v>0.29955775347990038</v>
      </c>
      <c r="G1580" s="166">
        <v>59.665337139765946</v>
      </c>
    </row>
    <row r="1581" spans="1:7" x14ac:dyDescent="0.25">
      <c r="A1581">
        <v>22</v>
      </c>
      <c r="B1581">
        <v>4.9999999999999996E-2</v>
      </c>
      <c r="C1581">
        <v>0.17</v>
      </c>
      <c r="D1581">
        <v>2.3116930999236702</v>
      </c>
      <c r="E1581">
        <v>0.94990058894135676</v>
      </c>
      <c r="F1581">
        <v>0.29436667531402116</v>
      </c>
      <c r="G1581" s="166">
        <v>58.964454492431379</v>
      </c>
    </row>
    <row r="1582" spans="1:7" x14ac:dyDescent="0.25">
      <c r="A1582">
        <v>21</v>
      </c>
      <c r="B1582">
        <v>4.9999999999999996E-2</v>
      </c>
      <c r="C1582">
        <v>0.17</v>
      </c>
      <c r="D1582">
        <v>2.2657012539063537</v>
      </c>
      <c r="E1582">
        <v>0.93100202424010303</v>
      </c>
      <c r="F1582">
        <v>0.28851015967008953</v>
      </c>
      <c r="G1582" s="166">
        <v>58.279697030011661</v>
      </c>
    </row>
    <row r="1583" spans="1:7" x14ac:dyDescent="0.25">
      <c r="A1583">
        <v>20</v>
      </c>
      <c r="B1583">
        <v>4.9999999999999996E-2</v>
      </c>
      <c r="C1583">
        <v>0.17</v>
      </c>
      <c r="D1583">
        <v>2.2132457617266583</v>
      </c>
      <c r="E1583">
        <v>0.90944747492888767</v>
      </c>
      <c r="F1583">
        <v>0.28183057541411394</v>
      </c>
      <c r="G1583" s="166">
        <v>57.629091470502082</v>
      </c>
    </row>
    <row r="1584" spans="1:7" x14ac:dyDescent="0.25">
      <c r="A1584">
        <v>19</v>
      </c>
      <c r="B1584">
        <v>4.9999999999999996E-2</v>
      </c>
      <c r="C1584">
        <v>0.17</v>
      </c>
      <c r="D1584">
        <v>2.1537212088670135</v>
      </c>
      <c r="E1584">
        <v>0.88498816940095459</v>
      </c>
      <c r="F1584">
        <v>0.27425083019385699</v>
      </c>
      <c r="G1584" s="166">
        <v>57.028295786953038</v>
      </c>
    </row>
    <row r="1585" spans="1:7" x14ac:dyDescent="0.25">
      <c r="A1585">
        <v>18</v>
      </c>
      <c r="B1585">
        <v>4.9999999999999996E-2</v>
      </c>
      <c r="C1585">
        <v>0.17</v>
      </c>
      <c r="D1585">
        <v>2.0857876623978244</v>
      </c>
      <c r="E1585">
        <v>0.85707351420641842</v>
      </c>
      <c r="F1585">
        <v>0.2656002994564135</v>
      </c>
      <c r="G1585" s="166">
        <v>56.506460911247139</v>
      </c>
    </row>
    <row r="1586" spans="1:7" x14ac:dyDescent="0.25">
      <c r="A1586">
        <v>17</v>
      </c>
      <c r="B1586">
        <v>4.9999999999999996E-2</v>
      </c>
      <c r="C1586">
        <v>0.17</v>
      </c>
      <c r="D1586">
        <v>2.0080822693569389</v>
      </c>
      <c r="E1586">
        <v>0.82514349779727902</v>
      </c>
      <c r="F1586">
        <v>0.25570544005480428</v>
      </c>
      <c r="G1586" s="166">
        <v>56.102043466360207</v>
      </c>
    </row>
    <row r="1587" spans="1:7" x14ac:dyDescent="0.25">
      <c r="A1587">
        <v>16</v>
      </c>
      <c r="B1587">
        <v>4.9999999999999996E-2</v>
      </c>
      <c r="C1587">
        <v>0.17</v>
      </c>
      <c r="D1587">
        <v>1.9180047139967118</v>
      </c>
      <c r="E1587">
        <v>0.78812962130567099</v>
      </c>
      <c r="F1587">
        <v>0.24423513264562433</v>
      </c>
      <c r="G1587" s="166">
        <v>55.889574596835537</v>
      </c>
    </row>
    <row r="1588" spans="1:7" x14ac:dyDescent="0.25">
      <c r="A1588">
        <v>15</v>
      </c>
      <c r="B1588">
        <v>4.9999999999999996E-2</v>
      </c>
      <c r="C1588">
        <v>0.17</v>
      </c>
      <c r="D1588">
        <v>1.813475261609256</v>
      </c>
      <c r="E1588">
        <v>0.74517729844419767</v>
      </c>
      <c r="F1588">
        <v>0.23092454770132242</v>
      </c>
      <c r="G1588" s="166">
        <v>55.962033119032505</v>
      </c>
    </row>
    <row r="1589" spans="1:7" x14ac:dyDescent="0.25">
      <c r="A1589">
        <v>14</v>
      </c>
      <c r="B1589">
        <v>4.9999999999999996E-2</v>
      </c>
      <c r="C1589">
        <v>0.17</v>
      </c>
      <c r="D1589">
        <v>1.6972999396853337</v>
      </c>
      <c r="E1589">
        <v>0.69743955734022967</v>
      </c>
      <c r="F1589">
        <v>0.21613099951388773</v>
      </c>
      <c r="G1589" s="166">
        <v>55.955348290800856</v>
      </c>
    </row>
    <row r="1590" spans="1:7" x14ac:dyDescent="0.25">
      <c r="A1590">
        <v>13</v>
      </c>
      <c r="B1590">
        <v>4.9999999999999996E-2</v>
      </c>
      <c r="C1590">
        <v>0.17</v>
      </c>
      <c r="D1590">
        <v>1.5809778212446632</v>
      </c>
      <c r="E1590">
        <v>0.6496414959032043</v>
      </c>
      <c r="F1590">
        <v>0.20131875853259371</v>
      </c>
      <c r="G1590" s="166">
        <v>55.796935196394188</v>
      </c>
    </row>
    <row r="1591" spans="1:7" x14ac:dyDescent="0.25">
      <c r="A1591">
        <v>12</v>
      </c>
      <c r="B1591">
        <v>4.9999999999999996E-2</v>
      </c>
      <c r="C1591">
        <v>0.17</v>
      </c>
      <c r="D1591">
        <v>1.464632156674089</v>
      </c>
      <c r="E1591">
        <v>0.60183375909765202</v>
      </c>
      <c r="F1591">
        <v>0.18650351923116087</v>
      </c>
      <c r="G1591" s="166">
        <v>55.614078336896483</v>
      </c>
    </row>
    <row r="1592" spans="1:7" x14ac:dyDescent="0.25">
      <c r="A1592">
        <v>11</v>
      </c>
      <c r="B1592">
        <v>4.9999999999999996E-2</v>
      </c>
      <c r="C1592">
        <v>0.17</v>
      </c>
      <c r="D1592">
        <v>1.3481396696458396</v>
      </c>
      <c r="E1592">
        <v>0.55396569129962503</v>
      </c>
      <c r="F1592">
        <v>0.17166958383259961</v>
      </c>
      <c r="G1592" s="166">
        <v>55.40450683050679</v>
      </c>
    </row>
    <row r="1593" spans="1:7" x14ac:dyDescent="0.25">
      <c r="A1593">
        <v>10</v>
      </c>
      <c r="B1593">
        <v>4.9999999999999996E-2</v>
      </c>
      <c r="C1593">
        <v>0.17</v>
      </c>
      <c r="D1593">
        <v>1.2316471826175905</v>
      </c>
      <c r="E1593">
        <v>0.50609762350159815</v>
      </c>
      <c r="F1593">
        <v>0.15683564843403844</v>
      </c>
      <c r="G1593" s="166">
        <v>55.155291656134622</v>
      </c>
    </row>
    <row r="1594" spans="1:7" x14ac:dyDescent="0.25">
      <c r="A1594">
        <v>9</v>
      </c>
      <c r="B1594">
        <v>4.9999999999999996E-2</v>
      </c>
      <c r="C1594">
        <v>0.17</v>
      </c>
      <c r="D1594">
        <v>1.1151546955893412</v>
      </c>
      <c r="E1594">
        <v>0.45822955570357121</v>
      </c>
      <c r="F1594">
        <v>0.14200171303547721</v>
      </c>
      <c r="G1594" s="166">
        <v>54.85400891556268</v>
      </c>
    </row>
    <row r="1595" spans="1:7" x14ac:dyDescent="0.25">
      <c r="A1595">
        <v>8</v>
      </c>
      <c r="B1595">
        <v>4.9999999999999996E-2</v>
      </c>
      <c r="C1595">
        <v>0.17</v>
      </c>
      <c r="D1595">
        <v>0.99866220856109233</v>
      </c>
      <c r="E1595">
        <v>0.41036148790554439</v>
      </c>
      <c r="F1595">
        <v>0.12716777763691603</v>
      </c>
      <c r="G1595" s="166">
        <v>54.482437792298278</v>
      </c>
    </row>
    <row r="1596" spans="1:7" x14ac:dyDescent="0.25">
      <c r="A1596">
        <v>7</v>
      </c>
      <c r="B1596">
        <v>4.9999999999999996E-2</v>
      </c>
      <c r="C1596">
        <v>0.17</v>
      </c>
      <c r="D1596">
        <v>0.88191610705749568</v>
      </c>
      <c r="E1596">
        <v>0.36238920707876182</v>
      </c>
      <c r="F1596">
        <v>0.11230154744545083</v>
      </c>
      <c r="G1596" s="166">
        <v>54.025331771338728</v>
      </c>
    </row>
    <row r="1597" spans="1:7" x14ac:dyDescent="0.25">
      <c r="A1597">
        <v>6</v>
      </c>
      <c r="B1597">
        <v>4.9999999999999996E-2</v>
      </c>
      <c r="C1597">
        <v>0.17</v>
      </c>
      <c r="D1597">
        <v>0.76516370349654417</v>
      </c>
      <c r="E1597">
        <v>0.31441433666602031</v>
      </c>
      <c r="F1597">
        <v>9.7434514761790103E-2</v>
      </c>
      <c r="G1597" s="166">
        <v>53.429095527789094</v>
      </c>
    </row>
    <row r="1598" spans="1:7" x14ac:dyDescent="0.25">
      <c r="A1598">
        <v>5</v>
      </c>
      <c r="B1598">
        <v>4.9999999999999996E-2</v>
      </c>
      <c r="C1598">
        <v>0.17</v>
      </c>
      <c r="D1598">
        <v>0.6480982666243611</v>
      </c>
      <c r="E1598">
        <v>0.26631083735928462</v>
      </c>
      <c r="F1598">
        <v>8.2527621001807092E-2</v>
      </c>
      <c r="G1598" s="166">
        <v>52.638957123303463</v>
      </c>
    </row>
    <row r="1599" spans="1:7" x14ac:dyDescent="0.25">
      <c r="A1599">
        <v>4</v>
      </c>
      <c r="B1599">
        <v>4.9999999999999996E-2</v>
      </c>
      <c r="C1599">
        <v>0.17</v>
      </c>
      <c r="D1599">
        <v>0.53070880382495378</v>
      </c>
      <c r="E1599">
        <v>0.21807419216951079</v>
      </c>
      <c r="F1599">
        <v>6.7579466386343004E-2</v>
      </c>
      <c r="G1599" s="166">
        <v>51.526413458353773</v>
      </c>
    </row>
    <row r="1600" spans="1:7" x14ac:dyDescent="0.25">
      <c r="A1600">
        <v>3</v>
      </c>
      <c r="B1600">
        <v>4.9999999999999996E-2</v>
      </c>
      <c r="C1600">
        <v>0.17</v>
      </c>
      <c r="D1600">
        <v>0.4126248878556501</v>
      </c>
      <c r="E1600">
        <v>0.16955218839338371</v>
      </c>
      <c r="F1600">
        <v>5.2542881403201465E-2</v>
      </c>
      <c r="G1600" s="166">
        <v>49.850740915364135</v>
      </c>
    </row>
    <row r="1601" spans="1:7" x14ac:dyDescent="0.25">
      <c r="A1601">
        <v>2</v>
      </c>
      <c r="B1601">
        <v>4.9999999999999996E-2</v>
      </c>
      <c r="C1601">
        <v>0.17</v>
      </c>
      <c r="D1601">
        <v>0.29294641934757726</v>
      </c>
      <c r="E1601">
        <v>0.12037496511786684</v>
      </c>
      <c r="F1601">
        <v>3.7303249082389314E-2</v>
      </c>
      <c r="G1601" s="166">
        <v>47.043870131906125</v>
      </c>
    </row>
    <row r="1602" spans="1:7" x14ac:dyDescent="0.25">
      <c r="A1602">
        <v>1</v>
      </c>
      <c r="B1602">
        <v>4.9999999999999996E-2</v>
      </c>
      <c r="C1602">
        <v>0.17</v>
      </c>
      <c r="D1602">
        <v>0.16754739388706133</v>
      </c>
      <c r="E1602">
        <v>6.8847100912384995E-2</v>
      </c>
      <c r="F1602">
        <v>2.1335171739575425E-2</v>
      </c>
      <c r="G1602" s="166">
        <v>41.541051085164234</v>
      </c>
    </row>
    <row r="1603" spans="1:7" x14ac:dyDescent="0.25">
      <c r="A1603">
        <v>50</v>
      </c>
      <c r="B1603">
        <v>4.4999999999999998E-2</v>
      </c>
      <c r="C1603">
        <v>0.17</v>
      </c>
      <c r="D1603">
        <v>2.8058513860170864</v>
      </c>
      <c r="E1603">
        <v>1.1529557639582682</v>
      </c>
      <c r="F1603">
        <v>0.35729186714030509</v>
      </c>
      <c r="G1603" s="166">
        <v>69.886306987080985</v>
      </c>
    </row>
    <row r="1604" spans="1:7" x14ac:dyDescent="0.25">
      <c r="A1604">
        <v>49</v>
      </c>
      <c r="B1604">
        <v>4.4999999999999998E-2</v>
      </c>
      <c r="C1604">
        <v>0.17</v>
      </c>
      <c r="D1604">
        <v>2.79731355173947</v>
      </c>
      <c r="E1604">
        <v>1.1494474722179591</v>
      </c>
      <c r="F1604">
        <v>0.35620467529344313</v>
      </c>
      <c r="G1604" s="166">
        <v>69.636612442493572</v>
      </c>
    </row>
    <row r="1605" spans="1:7" x14ac:dyDescent="0.25">
      <c r="A1605">
        <v>48</v>
      </c>
      <c r="B1605">
        <v>4.4999999999999998E-2</v>
      </c>
      <c r="C1605">
        <v>0.17</v>
      </c>
      <c r="D1605">
        <v>2.7878822043952991</v>
      </c>
      <c r="E1605">
        <v>1.145572025950012</v>
      </c>
      <c r="F1605">
        <v>0.35500370516400553</v>
      </c>
      <c r="G1605" s="166">
        <v>69.372310021468536</v>
      </c>
    </row>
    <row r="1606" spans="1:7" x14ac:dyDescent="0.25">
      <c r="A1606">
        <v>47</v>
      </c>
      <c r="B1606">
        <v>4.4999999999999998E-2</v>
      </c>
      <c r="C1606">
        <v>0.17</v>
      </c>
      <c r="D1606">
        <v>2.7777069370121903</v>
      </c>
      <c r="E1606">
        <v>1.1413908946051246</v>
      </c>
      <c r="F1606">
        <v>0.35370800564831473</v>
      </c>
      <c r="G1606" s="166">
        <v>69.095209317422729</v>
      </c>
    </row>
    <row r="1607" spans="1:7" x14ac:dyDescent="0.25">
      <c r="A1607">
        <v>46</v>
      </c>
      <c r="B1607">
        <v>4.4999999999999998E-2</v>
      </c>
      <c r="C1607">
        <v>0.17</v>
      </c>
      <c r="D1607">
        <v>2.7675316696290819</v>
      </c>
      <c r="E1607">
        <v>1.1372097632602374</v>
      </c>
      <c r="F1607">
        <v>0.35241230613262392</v>
      </c>
      <c r="G1607" s="166">
        <v>68.816071004350306</v>
      </c>
    </row>
    <row r="1608" spans="1:7" x14ac:dyDescent="0.25">
      <c r="A1608">
        <v>45</v>
      </c>
      <c r="B1608">
        <v>4.4999999999999998E-2</v>
      </c>
      <c r="C1608">
        <v>0.17</v>
      </c>
      <c r="D1608">
        <v>2.7573564022459731</v>
      </c>
      <c r="E1608">
        <v>1.13302863191535</v>
      </c>
      <c r="F1608">
        <v>0.35111660661693311</v>
      </c>
      <c r="G1608" s="166">
        <v>68.534872524539878</v>
      </c>
    </row>
    <row r="1609" spans="1:7" x14ac:dyDescent="0.25">
      <c r="A1609">
        <v>44</v>
      </c>
      <c r="B1609">
        <v>4.4999999999999998E-2</v>
      </c>
      <c r="C1609">
        <v>0.17</v>
      </c>
      <c r="D1609">
        <v>2.7468289391459333</v>
      </c>
      <c r="E1609">
        <v>1.1287027794052931</v>
      </c>
      <c r="F1609">
        <v>0.34977605915743165</v>
      </c>
      <c r="G1609" s="166">
        <v>68.247137539786266</v>
      </c>
    </row>
    <row r="1610" spans="1:7" x14ac:dyDescent="0.25">
      <c r="A1610">
        <v>43</v>
      </c>
      <c r="B1610">
        <v>4.4999999999999998E-2</v>
      </c>
      <c r="C1610">
        <v>0.17</v>
      </c>
      <c r="D1610">
        <v>2.7348552285045247</v>
      </c>
      <c r="E1610">
        <v>1.1237826475805004</v>
      </c>
      <c r="F1610">
        <v>0.34825134924122347</v>
      </c>
      <c r="G1610" s="166">
        <v>67.93866525948718</v>
      </c>
    </row>
    <row r="1611" spans="1:7" x14ac:dyDescent="0.25">
      <c r="A1611">
        <v>42</v>
      </c>
      <c r="B1611">
        <v>4.4999999999999998E-2</v>
      </c>
      <c r="C1611">
        <v>0.17</v>
      </c>
      <c r="D1611">
        <v>2.7228815178631152</v>
      </c>
      <c r="E1611">
        <v>1.1188625157557077</v>
      </c>
      <c r="F1611">
        <v>0.34672663932501518</v>
      </c>
      <c r="G1611" s="166">
        <v>67.62748000192417</v>
      </c>
    </row>
    <row r="1612" spans="1:7" x14ac:dyDescent="0.25">
      <c r="A1612">
        <v>41</v>
      </c>
      <c r="B1612">
        <v>4.4999999999999998E-2</v>
      </c>
      <c r="C1612">
        <v>0.17</v>
      </c>
      <c r="D1612">
        <v>2.7109078072217057</v>
      </c>
      <c r="E1612">
        <v>1.113942383930915</v>
      </c>
      <c r="F1612">
        <v>0.34520192940880695</v>
      </c>
      <c r="G1612" s="166">
        <v>67.313545818543744</v>
      </c>
    </row>
    <row r="1613" spans="1:7" x14ac:dyDescent="0.25">
      <c r="A1613">
        <v>40</v>
      </c>
      <c r="B1613">
        <v>4.4999999999999998E-2</v>
      </c>
      <c r="C1613">
        <v>0.17</v>
      </c>
      <c r="D1613">
        <v>2.6980088317216864</v>
      </c>
      <c r="E1613">
        <v>1.1086420504114642</v>
      </c>
      <c r="F1613">
        <v>0.34355939799621454</v>
      </c>
      <c r="G1613" s="166">
        <v>66.986794828898127</v>
      </c>
    </row>
    <row r="1614" spans="1:7" x14ac:dyDescent="0.25">
      <c r="A1614">
        <v>39</v>
      </c>
      <c r="B1614">
        <v>4.4999999999999998E-2</v>
      </c>
      <c r="C1614">
        <v>0.17</v>
      </c>
      <c r="D1614">
        <v>2.6840713284157323</v>
      </c>
      <c r="E1614">
        <v>1.1029149741835969</v>
      </c>
      <c r="F1614">
        <v>0.34178462239538449</v>
      </c>
      <c r="G1614" s="166">
        <v>66.645455259492962</v>
      </c>
    </row>
    <row r="1615" spans="1:7" x14ac:dyDescent="0.25">
      <c r="A1615">
        <v>38</v>
      </c>
      <c r="B1615">
        <v>4.4999999999999998E-2</v>
      </c>
      <c r="C1615">
        <v>0.17</v>
      </c>
      <c r="D1615">
        <v>2.6701338251097786</v>
      </c>
      <c r="E1615">
        <v>1.0971878979557297</v>
      </c>
      <c r="F1615">
        <v>0.34000984679455437</v>
      </c>
      <c r="G1615" s="166">
        <v>66.300552257174942</v>
      </c>
    </row>
    <row r="1616" spans="1:7" x14ac:dyDescent="0.25">
      <c r="A1616">
        <v>37</v>
      </c>
      <c r="B1616">
        <v>4.4999999999999998E-2</v>
      </c>
      <c r="C1616">
        <v>0.17</v>
      </c>
      <c r="D1616">
        <v>2.6556685248485348</v>
      </c>
      <c r="E1616">
        <v>1.0912439440468726</v>
      </c>
      <c r="F1616">
        <v>0.33816786251668379</v>
      </c>
      <c r="G1616" s="166">
        <v>65.947260121203541</v>
      </c>
    </row>
    <row r="1617" spans="1:7" x14ac:dyDescent="0.25">
      <c r="A1617">
        <v>36</v>
      </c>
      <c r="B1617">
        <v>4.4999999999999998E-2</v>
      </c>
      <c r="C1617">
        <v>0.17</v>
      </c>
      <c r="D1617">
        <v>2.6395974453291058</v>
      </c>
      <c r="E1617">
        <v>1.0846401574538629</v>
      </c>
      <c r="F1617">
        <v>0.33612140131169171</v>
      </c>
      <c r="G1617" s="166">
        <v>65.57527850598116</v>
      </c>
    </row>
    <row r="1618" spans="1:7" x14ac:dyDescent="0.25">
      <c r="A1618">
        <v>35</v>
      </c>
      <c r="B1618">
        <v>4.4999999999999998E-2</v>
      </c>
      <c r="C1618">
        <v>0.17</v>
      </c>
      <c r="D1618">
        <v>2.6235263658096768</v>
      </c>
      <c r="E1618">
        <v>1.0780363708608534</v>
      </c>
      <c r="F1618">
        <v>0.33407494010669969</v>
      </c>
      <c r="G1618" s="166">
        <v>65.198739554346275</v>
      </c>
    </row>
    <row r="1619" spans="1:7" x14ac:dyDescent="0.25">
      <c r="A1619">
        <v>34</v>
      </c>
      <c r="B1619">
        <v>4.4999999999999998E-2</v>
      </c>
      <c r="C1619">
        <v>0.17</v>
      </c>
      <c r="D1619">
        <v>2.6064604376707967</v>
      </c>
      <c r="E1619">
        <v>1.0710237898264208</v>
      </c>
      <c r="F1619">
        <v>0.33190179673937464</v>
      </c>
      <c r="G1619" s="166">
        <v>64.810212068617375</v>
      </c>
    </row>
    <row r="1620" spans="1:7" x14ac:dyDescent="0.25">
      <c r="A1620">
        <v>33</v>
      </c>
      <c r="B1620">
        <v>4.4999999999999998E-2</v>
      </c>
      <c r="C1620">
        <v>0.17</v>
      </c>
      <c r="D1620">
        <v>2.5880814674364307</v>
      </c>
      <c r="E1620">
        <v>1.0634716650870528</v>
      </c>
      <c r="F1620">
        <v>0.32956145304766044</v>
      </c>
      <c r="G1620" s="166">
        <v>64.40659416212921</v>
      </c>
    </row>
    <row r="1621" spans="1:7" x14ac:dyDescent="0.25">
      <c r="A1621">
        <v>32</v>
      </c>
      <c r="B1621">
        <v>4.4999999999999998E-2</v>
      </c>
      <c r="C1621">
        <v>0.17</v>
      </c>
      <c r="D1621">
        <v>2.5697024972020652</v>
      </c>
      <c r="E1621">
        <v>1.0559195403476849</v>
      </c>
      <c r="F1621">
        <v>0.32722110935594623</v>
      </c>
      <c r="G1621" s="166">
        <v>63.997202761240459</v>
      </c>
    </row>
    <row r="1622" spans="1:7" x14ac:dyDescent="0.25">
      <c r="A1622">
        <v>31</v>
      </c>
      <c r="B1622">
        <v>4.4999999999999998E-2</v>
      </c>
      <c r="C1622">
        <v>0.17</v>
      </c>
      <c r="D1622">
        <v>2.5489593927915863</v>
      </c>
      <c r="E1622">
        <v>1.0473959663937562</v>
      </c>
      <c r="F1622">
        <v>0.32457972124036732</v>
      </c>
      <c r="G1622" s="166">
        <v>63.568015002984481</v>
      </c>
    </row>
    <row r="1623" spans="1:7" x14ac:dyDescent="0.25">
      <c r="A1623">
        <v>30</v>
      </c>
      <c r="B1623">
        <v>4.4999999999999998E-2</v>
      </c>
      <c r="C1623">
        <v>0.17</v>
      </c>
      <c r="D1623">
        <v>2.5280935876203174</v>
      </c>
      <c r="E1623">
        <v>1.0388219733227995</v>
      </c>
      <c r="F1623">
        <v>0.32192270863942152</v>
      </c>
      <c r="G1623" s="166">
        <v>63.131035458357971</v>
      </c>
    </row>
    <row r="1624" spans="1:7" x14ac:dyDescent="0.25">
      <c r="A1624">
        <v>29</v>
      </c>
      <c r="B1624">
        <v>4.4999999999999998E-2</v>
      </c>
      <c r="C1624">
        <v>0.17</v>
      </c>
      <c r="D1624">
        <v>2.5052237948718838</v>
      </c>
      <c r="E1624">
        <v>1.0294245193089337</v>
      </c>
      <c r="F1624">
        <v>0.31901051200886565</v>
      </c>
      <c r="G1624" s="166">
        <v>62.67819150558114</v>
      </c>
    </row>
    <row r="1625" spans="1:7" x14ac:dyDescent="0.25">
      <c r="A1625">
        <v>28</v>
      </c>
      <c r="B1625">
        <v>4.4999999999999998E-2</v>
      </c>
      <c r="C1625">
        <v>0.17</v>
      </c>
      <c r="D1625">
        <v>2.4816874800568716</v>
      </c>
      <c r="E1625">
        <v>1.0197531839119349</v>
      </c>
      <c r="F1625">
        <v>0.3160134417050835</v>
      </c>
      <c r="G1625" s="166">
        <v>62.213992849212275</v>
      </c>
    </row>
    <row r="1626" spans="1:7" x14ac:dyDescent="0.25">
      <c r="A1626">
        <v>27</v>
      </c>
      <c r="B1626">
        <v>4.4999999999999998E-2</v>
      </c>
      <c r="C1626">
        <v>0.17</v>
      </c>
      <c r="D1626">
        <v>2.4559032609221134</v>
      </c>
      <c r="E1626">
        <v>1.0091581594502934</v>
      </c>
      <c r="F1626">
        <v>0.31273012746993806</v>
      </c>
      <c r="G1626" s="166">
        <v>61.73460568975419</v>
      </c>
    </row>
    <row r="1627" spans="1:7" x14ac:dyDescent="0.25">
      <c r="A1627">
        <v>26</v>
      </c>
      <c r="B1627">
        <v>4.4999999999999998E-2</v>
      </c>
      <c r="C1627">
        <v>0.17</v>
      </c>
      <c r="D1627">
        <v>2.4294381326002221</v>
      </c>
      <c r="E1627">
        <v>0.99828334177652722</v>
      </c>
      <c r="F1627">
        <v>0.30936010753254611</v>
      </c>
      <c r="G1627" s="166">
        <v>61.243106783697932</v>
      </c>
    </row>
    <row r="1628" spans="1:7" x14ac:dyDescent="0.25">
      <c r="A1628">
        <v>25</v>
      </c>
      <c r="B1628">
        <v>4.4999999999999998E-2</v>
      </c>
      <c r="C1628">
        <v>0.17</v>
      </c>
      <c r="D1628">
        <v>2.3986193263462479</v>
      </c>
      <c r="E1628">
        <v>0.98561954907321103</v>
      </c>
      <c r="F1628">
        <v>0.30543569839085299</v>
      </c>
      <c r="G1628" s="166">
        <v>60.65933349222054</v>
      </c>
    </row>
    <row r="1629" spans="1:7" x14ac:dyDescent="0.25">
      <c r="A1629">
        <v>24</v>
      </c>
      <c r="B1629">
        <v>4.4999999999999998E-2</v>
      </c>
      <c r="C1629">
        <v>0.17</v>
      </c>
      <c r="D1629">
        <v>2.3634429767787859</v>
      </c>
      <c r="E1629">
        <v>0.97116519301182791</v>
      </c>
      <c r="F1629">
        <v>0.30095640783442079</v>
      </c>
      <c r="G1629" s="166">
        <v>59.974877453320246</v>
      </c>
    </row>
    <row r="1630" spans="1:7" x14ac:dyDescent="0.25">
      <c r="A1630">
        <v>23</v>
      </c>
      <c r="B1630">
        <v>4.4999999999999998E-2</v>
      </c>
      <c r="C1630">
        <v>0.17</v>
      </c>
      <c r="D1630">
        <v>2.322981561825487</v>
      </c>
      <c r="E1630">
        <v>0.95453914438331045</v>
      </c>
      <c r="F1630">
        <v>0.29580412693748992</v>
      </c>
      <c r="G1630" s="166">
        <v>59.305482019783319</v>
      </c>
    </row>
    <row r="1631" spans="1:7" x14ac:dyDescent="0.25">
      <c r="A1631">
        <v>22</v>
      </c>
      <c r="B1631">
        <v>4.4999999999999998E-2</v>
      </c>
      <c r="C1631">
        <v>0.17</v>
      </c>
      <c r="D1631">
        <v>2.2772602650070679</v>
      </c>
      <c r="E1631">
        <v>0.93575175137841149</v>
      </c>
      <c r="F1631">
        <v>0.2899820625224826</v>
      </c>
      <c r="G1631" s="166">
        <v>58.656929927980073</v>
      </c>
    </row>
    <row r="1632" spans="1:7" x14ac:dyDescent="0.25">
      <c r="A1632">
        <v>21</v>
      </c>
      <c r="B1632">
        <v>4.4999999999999998E-2</v>
      </c>
      <c r="C1632">
        <v>0.17</v>
      </c>
      <c r="D1632">
        <v>2.2252608943789851</v>
      </c>
      <c r="E1632">
        <v>0.91438462752195038</v>
      </c>
      <c r="F1632">
        <v>0.28336055993171233</v>
      </c>
      <c r="G1632" s="166">
        <v>58.045518156418979</v>
      </c>
    </row>
    <row r="1633" spans="1:7" x14ac:dyDescent="0.25">
      <c r="A1633">
        <v>20</v>
      </c>
      <c r="B1633">
        <v>4.4999999999999998E-2</v>
      </c>
      <c r="C1633">
        <v>0.17</v>
      </c>
      <c r="D1633">
        <v>2.1658209695471413</v>
      </c>
      <c r="E1633">
        <v>0.88996009659859276</v>
      </c>
      <c r="F1633">
        <v>0.27579159108621859</v>
      </c>
      <c r="G1633" s="166">
        <v>57.494914293289504</v>
      </c>
    </row>
    <row r="1634" spans="1:7" x14ac:dyDescent="0.25">
      <c r="A1634">
        <v>19</v>
      </c>
      <c r="B1634">
        <v>4.4999999999999998E-2</v>
      </c>
      <c r="C1634">
        <v>0.17</v>
      </c>
      <c r="D1634">
        <v>2.0977633895348511</v>
      </c>
      <c r="E1634">
        <v>0.86199447463184786</v>
      </c>
      <c r="F1634">
        <v>0.2671252661494018</v>
      </c>
      <c r="G1634" s="166">
        <v>57.035785851441418</v>
      </c>
    </row>
    <row r="1635" spans="1:7" x14ac:dyDescent="0.25">
      <c r="A1635">
        <v>18</v>
      </c>
      <c r="B1635">
        <v>4.4999999999999998E-2</v>
      </c>
      <c r="C1635">
        <v>0.17</v>
      </c>
      <c r="D1635">
        <v>2.0199002231868635</v>
      </c>
      <c r="E1635">
        <v>0.8299996274035395</v>
      </c>
      <c r="F1635">
        <v>0.25721031618998175</v>
      </c>
      <c r="G1635" s="166">
        <v>56.707313001698061</v>
      </c>
    </row>
    <row r="1636" spans="1:7" x14ac:dyDescent="0.25">
      <c r="A1636">
        <v>17</v>
      </c>
      <c r="B1636">
        <v>4.4999999999999998E-2</v>
      </c>
      <c r="C1636">
        <v>0.17</v>
      </c>
      <c r="D1636">
        <v>1.9298341199471885</v>
      </c>
      <c r="E1636">
        <v>0.792990456716546</v>
      </c>
      <c r="F1636">
        <v>0.24574146707241165</v>
      </c>
      <c r="G1636" s="166">
        <v>56.584830876785382</v>
      </c>
    </row>
    <row r="1637" spans="1:7" x14ac:dyDescent="0.25">
      <c r="A1637">
        <v>16</v>
      </c>
      <c r="B1637">
        <v>4.4999999999999998E-2</v>
      </c>
      <c r="C1637">
        <v>0.17</v>
      </c>
      <c r="D1637">
        <v>1.8253676824510714</v>
      </c>
      <c r="E1637">
        <v>0.75006402737977818</v>
      </c>
      <c r="F1637">
        <v>0.23243890632650321</v>
      </c>
      <c r="G1637" s="166">
        <v>56.734887256527593</v>
      </c>
    </row>
    <row r="1638" spans="1:7" x14ac:dyDescent="0.25">
      <c r="A1638">
        <v>15</v>
      </c>
      <c r="B1638">
        <v>4.4999999999999998E-2</v>
      </c>
      <c r="C1638">
        <v>0.17</v>
      </c>
      <c r="D1638">
        <v>1.7155256368601211</v>
      </c>
      <c r="E1638">
        <v>0.70492870046254497</v>
      </c>
      <c r="F1638">
        <v>0.218451825700893</v>
      </c>
      <c r="G1638" s="166">
        <v>56.605247429024345</v>
      </c>
    </row>
    <row r="1639" spans="1:7" x14ac:dyDescent="0.25">
      <c r="A1639">
        <v>14</v>
      </c>
      <c r="B1639">
        <v>4.4999999999999998E-2</v>
      </c>
      <c r="C1639">
        <v>0.17</v>
      </c>
      <c r="D1639">
        <v>1.6056835912691714</v>
      </c>
      <c r="E1639">
        <v>0.65979337354531209</v>
      </c>
      <c r="F1639">
        <v>0.20446474507528287</v>
      </c>
      <c r="G1639" s="166">
        <v>56.457870727431541</v>
      </c>
    </row>
    <row r="1640" spans="1:7" x14ac:dyDescent="0.25">
      <c r="A1640">
        <v>13</v>
      </c>
      <c r="B1640">
        <v>4.4999999999999998E-2</v>
      </c>
      <c r="C1640">
        <v>0.17</v>
      </c>
      <c r="D1640">
        <v>1.4958415456782208</v>
      </c>
      <c r="E1640">
        <v>0.61465804662807877</v>
      </c>
      <c r="F1640">
        <v>0.19047766444967262</v>
      </c>
      <c r="G1640" s="166">
        <v>56.288849810350563</v>
      </c>
    </row>
    <row r="1641" spans="1:7" x14ac:dyDescent="0.25">
      <c r="A1641">
        <v>12</v>
      </c>
      <c r="B1641">
        <v>4.4999999999999998E-2</v>
      </c>
      <c r="C1641">
        <v>0.17</v>
      </c>
      <c r="D1641">
        <v>1.385971955193209</v>
      </c>
      <c r="E1641">
        <v>0.56951140120533461</v>
      </c>
      <c r="F1641">
        <v>0.17648707630877547</v>
      </c>
      <c r="G1641" s="166">
        <v>56.093965991476637</v>
      </c>
    </row>
    <row r="1642" spans="1:7" x14ac:dyDescent="0.25">
      <c r="A1642">
        <v>11</v>
      </c>
      <c r="B1642">
        <v>4.4999999999999998E-2</v>
      </c>
      <c r="C1642">
        <v>0.17</v>
      </c>
      <c r="D1642">
        <v>1.2759624320375438</v>
      </c>
      <c r="E1642">
        <v>0.52430725588077798</v>
      </c>
      <c r="F1642">
        <v>0.16247866940334182</v>
      </c>
      <c r="G1642" s="166">
        <v>55.870616084283071</v>
      </c>
    </row>
    <row r="1643" spans="1:7" x14ac:dyDescent="0.25">
      <c r="A1643">
        <v>10</v>
      </c>
      <c r="B1643">
        <v>4.4999999999999998E-2</v>
      </c>
      <c r="C1643">
        <v>0.17</v>
      </c>
      <c r="D1643">
        <v>1.1659529088818774</v>
      </c>
      <c r="E1643">
        <v>0.47910311055622101</v>
      </c>
      <c r="F1643">
        <v>0.14847026249790807</v>
      </c>
      <c r="G1643" s="166">
        <v>55.605119334622664</v>
      </c>
    </row>
    <row r="1644" spans="1:7" x14ac:dyDescent="0.25">
      <c r="A1644">
        <v>9</v>
      </c>
      <c r="B1644">
        <v>4.4999999999999998E-2</v>
      </c>
      <c r="C1644">
        <v>0.17</v>
      </c>
      <c r="D1644">
        <v>1.0559433857262124</v>
      </c>
      <c r="E1644">
        <v>0.43389896523166455</v>
      </c>
      <c r="F1644">
        <v>0.13446185559247448</v>
      </c>
      <c r="G1644" s="166">
        <v>55.284303007749379</v>
      </c>
    </row>
    <row r="1645" spans="1:7" x14ac:dyDescent="0.25">
      <c r="A1645">
        <v>8</v>
      </c>
      <c r="B1645">
        <v>4.4999999999999998E-2</v>
      </c>
      <c r="C1645">
        <v>0.17</v>
      </c>
      <c r="D1645">
        <v>0.94593127517240538</v>
      </c>
      <c r="E1645">
        <v>0.38869375671622908</v>
      </c>
      <c r="F1645">
        <v>0.12045311921260121</v>
      </c>
      <c r="G1645" s="166">
        <v>54.888992597174962</v>
      </c>
    </row>
    <row r="1646" spans="1:7" x14ac:dyDescent="0.25">
      <c r="A1646">
        <v>7</v>
      </c>
      <c r="B1646">
        <v>4.4999999999999998E-2</v>
      </c>
      <c r="C1646">
        <v>0.17</v>
      </c>
      <c r="D1646">
        <v>0.83566686816652969</v>
      </c>
      <c r="E1646">
        <v>0.34338487676256685</v>
      </c>
      <c r="F1646">
        <v>0.10641225587444293</v>
      </c>
      <c r="G1646" s="166">
        <v>54.403392723610928</v>
      </c>
    </row>
    <row r="1647" spans="1:7" x14ac:dyDescent="0.25">
      <c r="A1647">
        <v>6</v>
      </c>
      <c r="B1647">
        <v>4.4999999999999998E-2</v>
      </c>
      <c r="C1647">
        <v>0.17</v>
      </c>
      <c r="D1647">
        <v>0.72540246116065388</v>
      </c>
      <c r="E1647">
        <v>0.29807599680890462</v>
      </c>
      <c r="F1647">
        <v>9.2371392536284652E-2</v>
      </c>
      <c r="G1647" s="166">
        <v>53.770166160126401</v>
      </c>
    </row>
    <row r="1648" spans="1:7" x14ac:dyDescent="0.25">
      <c r="A1648">
        <v>5</v>
      </c>
      <c r="B1648">
        <v>4.4999999999999998E-2</v>
      </c>
      <c r="C1648">
        <v>0.17</v>
      </c>
      <c r="D1648">
        <v>0.61481867106902555</v>
      </c>
      <c r="E1648">
        <v>0.25263587876777127</v>
      </c>
      <c r="F1648">
        <v>7.8289859553393862E-2</v>
      </c>
      <c r="G1648" s="166">
        <v>52.933137552254692</v>
      </c>
    </row>
    <row r="1649" spans="1:7" x14ac:dyDescent="0.25">
      <c r="A1649">
        <v>4</v>
      </c>
      <c r="B1649">
        <v>4.4999999999999998E-2</v>
      </c>
      <c r="C1649">
        <v>0.17</v>
      </c>
      <c r="D1649">
        <v>0.5039141467119912</v>
      </c>
      <c r="E1649">
        <v>0.20706396742431199</v>
      </c>
      <c r="F1649">
        <v>6.416748486908086E-2</v>
      </c>
      <c r="G1649" s="166">
        <v>51.756977197187489</v>
      </c>
    </row>
    <row r="1650" spans="1:7" x14ac:dyDescent="0.25">
      <c r="A1650">
        <v>3</v>
      </c>
      <c r="B1650">
        <v>4.4999999999999998E-2</v>
      </c>
      <c r="C1650">
        <v>0.17</v>
      </c>
      <c r="D1650">
        <v>0.39230359205762844</v>
      </c>
      <c r="E1650">
        <v>0.16120194032315774</v>
      </c>
      <c r="F1650">
        <v>4.9955205607338272E-2</v>
      </c>
      <c r="G1650" s="166">
        <v>49.993104174588467</v>
      </c>
    </row>
    <row r="1651" spans="1:7" x14ac:dyDescent="0.25">
      <c r="A1651">
        <v>2</v>
      </c>
      <c r="B1651">
        <v>4.4999999999999998E-2</v>
      </c>
      <c r="C1651">
        <v>0.17</v>
      </c>
      <c r="D1651">
        <v>0.27909239446653361</v>
      </c>
      <c r="E1651">
        <v>0.11468219110986981</v>
      </c>
      <c r="F1651">
        <v>3.5539103468040588E-2</v>
      </c>
      <c r="G1651" s="166">
        <v>47.056652494076687</v>
      </c>
    </row>
    <row r="1652" spans="1:7" x14ac:dyDescent="0.25">
      <c r="A1652">
        <v>1</v>
      </c>
      <c r="B1652">
        <v>4.4999999999999998E-2</v>
      </c>
      <c r="C1652">
        <v>0.17</v>
      </c>
      <c r="D1652">
        <v>0.16002022940338334</v>
      </c>
      <c r="E1652">
        <v>6.5754104711314779E-2</v>
      </c>
      <c r="F1652">
        <v>2.0376676693812115E-2</v>
      </c>
      <c r="G1652" s="166">
        <v>41.402148370291258</v>
      </c>
    </row>
    <row r="1653" spans="1:7" x14ac:dyDescent="0.25">
      <c r="A1653">
        <v>50</v>
      </c>
      <c r="B1653">
        <v>0.04</v>
      </c>
      <c r="C1653">
        <v>0.17</v>
      </c>
      <c r="D1653">
        <v>2.8000303748831952</v>
      </c>
      <c r="E1653">
        <v>1.1505638452799194</v>
      </c>
      <c r="F1653">
        <v>0.3565506304707376</v>
      </c>
      <c r="G1653" s="166">
        <v>69.743564970547908</v>
      </c>
    </row>
    <row r="1654" spans="1:7" x14ac:dyDescent="0.25">
      <c r="A1654">
        <v>49</v>
      </c>
      <c r="B1654">
        <v>0.04</v>
      </c>
      <c r="C1654">
        <v>0.17</v>
      </c>
      <c r="D1654">
        <v>2.790592450879116</v>
      </c>
      <c r="E1654">
        <v>1.1466856965887482</v>
      </c>
      <c r="F1654">
        <v>0.35534882288172898</v>
      </c>
      <c r="G1654" s="166">
        <v>69.480954801822875</v>
      </c>
    </row>
    <row r="1655" spans="1:7" x14ac:dyDescent="0.25">
      <c r="A1655">
        <v>48</v>
      </c>
      <c r="B1655">
        <v>0.04</v>
      </c>
      <c r="C1655">
        <v>0.17</v>
      </c>
      <c r="D1655">
        <v>2.7805680703238114</v>
      </c>
      <c r="E1655">
        <v>1.1425665663315481</v>
      </c>
      <c r="F1655">
        <v>0.35407233701245638</v>
      </c>
      <c r="G1655" s="166">
        <v>69.207919706232872</v>
      </c>
    </row>
    <row r="1656" spans="1:7" x14ac:dyDescent="0.25">
      <c r="A1656">
        <v>47</v>
      </c>
      <c r="B1656">
        <v>0.04</v>
      </c>
      <c r="C1656">
        <v>0.17</v>
      </c>
      <c r="D1656">
        <v>2.7705436897685067</v>
      </c>
      <c r="E1656">
        <v>1.138447436074348</v>
      </c>
      <c r="F1656">
        <v>0.35279585114318374</v>
      </c>
      <c r="G1656" s="166">
        <v>68.932908819599959</v>
      </c>
    </row>
    <row r="1657" spans="1:7" x14ac:dyDescent="0.25">
      <c r="A1657">
        <v>46</v>
      </c>
      <c r="B1657">
        <v>0.04</v>
      </c>
      <c r="C1657">
        <v>0.17</v>
      </c>
      <c r="D1657">
        <v>2.7605193092132017</v>
      </c>
      <c r="E1657">
        <v>1.1343283058171478</v>
      </c>
      <c r="F1657">
        <v>0.35151936527391109</v>
      </c>
      <c r="G1657" s="166">
        <v>68.655900617624766</v>
      </c>
    </row>
    <row r="1658" spans="1:7" x14ac:dyDescent="0.25">
      <c r="A1658">
        <v>45</v>
      </c>
      <c r="B1658">
        <v>0.04</v>
      </c>
      <c r="C1658">
        <v>0.17</v>
      </c>
      <c r="D1658">
        <v>2.7500086397151926</v>
      </c>
      <c r="E1658">
        <v>1.130009353986277</v>
      </c>
      <c r="F1658">
        <v>0.35018095628027973</v>
      </c>
      <c r="G1658" s="166">
        <v>68.370753496902964</v>
      </c>
    </row>
    <row r="1659" spans="1:7" x14ac:dyDescent="0.25">
      <c r="A1659">
        <v>44</v>
      </c>
      <c r="B1659">
        <v>0.04</v>
      </c>
      <c r="C1659">
        <v>0.17</v>
      </c>
      <c r="D1659">
        <v>2.7382284272729467</v>
      </c>
      <c r="E1659">
        <v>1.1251687327389699</v>
      </c>
      <c r="F1659">
        <v>0.34868088606281389</v>
      </c>
      <c r="G1659" s="166">
        <v>68.067236804687823</v>
      </c>
    </row>
    <row r="1660" spans="1:7" x14ac:dyDescent="0.25">
      <c r="A1660">
        <v>43</v>
      </c>
      <c r="B1660">
        <v>0.04</v>
      </c>
      <c r="C1660">
        <v>0.17</v>
      </c>
      <c r="D1660">
        <v>2.7264482148307008</v>
      </c>
      <c r="E1660">
        <v>1.1203281114916628</v>
      </c>
      <c r="F1660">
        <v>0.34718081584534805</v>
      </c>
      <c r="G1660" s="166">
        <v>67.761097292721615</v>
      </c>
    </row>
    <row r="1661" spans="1:7" x14ac:dyDescent="0.25">
      <c r="A1661">
        <v>42</v>
      </c>
      <c r="B1661">
        <v>0.04</v>
      </c>
      <c r="C1661">
        <v>0.17</v>
      </c>
      <c r="D1661">
        <v>2.7146680023884548</v>
      </c>
      <c r="E1661">
        <v>1.1154874902443557</v>
      </c>
      <c r="F1661">
        <v>0.3456807456278822</v>
      </c>
      <c r="G1661" s="166">
        <v>67.452300816084389</v>
      </c>
    </row>
    <row r="1662" spans="1:7" x14ac:dyDescent="0.25">
      <c r="A1662">
        <v>41</v>
      </c>
      <c r="B1662">
        <v>0.04</v>
      </c>
      <c r="C1662">
        <v>0.17</v>
      </c>
      <c r="D1662">
        <v>2.7018462259329254</v>
      </c>
      <c r="E1662">
        <v>1.1102188786770228</v>
      </c>
      <c r="F1662">
        <v>0.34404804459721411</v>
      </c>
      <c r="G1662" s="166">
        <v>67.129592023961507</v>
      </c>
    </row>
    <row r="1663" spans="1:7" x14ac:dyDescent="0.25">
      <c r="A1663">
        <v>40</v>
      </c>
      <c r="B1663">
        <v>0.04</v>
      </c>
      <c r="C1663">
        <v>0.17</v>
      </c>
      <c r="D1663">
        <v>2.6881525488542</v>
      </c>
      <c r="E1663">
        <v>1.1045919933771169</v>
      </c>
      <c r="F1663">
        <v>0.34230431737208139</v>
      </c>
      <c r="G1663" s="166">
        <v>66.79425575019134</v>
      </c>
    </row>
    <row r="1664" spans="1:7" x14ac:dyDescent="0.25">
      <c r="A1664">
        <v>39</v>
      </c>
      <c r="B1664">
        <v>0.04</v>
      </c>
      <c r="C1664">
        <v>0.17</v>
      </c>
      <c r="D1664">
        <v>2.6744588717754736</v>
      </c>
      <c r="E1664">
        <v>1.0989651080772109</v>
      </c>
      <c r="F1664">
        <v>0.34056059014694867</v>
      </c>
      <c r="G1664" s="166">
        <v>66.45548552071952</v>
      </c>
    </row>
    <row r="1665" spans="1:7" x14ac:dyDescent="0.25">
      <c r="A1665">
        <v>38</v>
      </c>
      <c r="B1665">
        <v>0.04</v>
      </c>
      <c r="C1665">
        <v>0.17</v>
      </c>
      <c r="D1665">
        <v>2.6601180074553352</v>
      </c>
      <c r="E1665">
        <v>1.0930722862904099</v>
      </c>
      <c r="F1665">
        <v>0.33873445130906049</v>
      </c>
      <c r="G1665" s="166">
        <v>66.107428802140205</v>
      </c>
    </row>
    <row r="1666" spans="1:7" x14ac:dyDescent="0.25">
      <c r="A1666">
        <v>37</v>
      </c>
      <c r="B1666">
        <v>0.04</v>
      </c>
      <c r="C1666">
        <v>0.17</v>
      </c>
      <c r="D1666">
        <v>2.6443495608852929</v>
      </c>
      <c r="E1666">
        <v>1.0865928549662138</v>
      </c>
      <c r="F1666">
        <v>0.33672652681776732</v>
      </c>
      <c r="G1666" s="166">
        <v>65.742536878155576</v>
      </c>
    </row>
    <row r="1667" spans="1:7" x14ac:dyDescent="0.25">
      <c r="A1667">
        <v>36</v>
      </c>
      <c r="B1667">
        <v>0.04</v>
      </c>
      <c r="C1667">
        <v>0.17</v>
      </c>
      <c r="D1667">
        <v>2.6285811143152511</v>
      </c>
      <c r="E1667">
        <v>1.0801134236420178</v>
      </c>
      <c r="F1667">
        <v>0.33471860232647427</v>
      </c>
      <c r="G1667" s="166">
        <v>65.373267095123083</v>
      </c>
    </row>
    <row r="1668" spans="1:7" x14ac:dyDescent="0.25">
      <c r="A1668">
        <v>35</v>
      </c>
      <c r="B1668">
        <v>0.04</v>
      </c>
      <c r="C1668">
        <v>0.17</v>
      </c>
      <c r="D1668">
        <v>2.6117230121518844</v>
      </c>
      <c r="E1668">
        <v>1.0731862406288644</v>
      </c>
      <c r="F1668">
        <v>0.3325719231301319</v>
      </c>
      <c r="G1668" s="166">
        <v>64.991585254642104</v>
      </c>
    </row>
    <row r="1669" spans="1:7" x14ac:dyDescent="0.25">
      <c r="A1669">
        <v>34</v>
      </c>
      <c r="B1669">
        <v>0.04</v>
      </c>
      <c r="C1669">
        <v>0.17</v>
      </c>
      <c r="D1669">
        <v>2.5937147510525489</v>
      </c>
      <c r="E1669">
        <v>1.0657864444255389</v>
      </c>
      <c r="F1669">
        <v>0.33027878484625967</v>
      </c>
      <c r="G1669" s="166">
        <v>64.596314142323322</v>
      </c>
    </row>
    <row r="1670" spans="1:7" x14ac:dyDescent="0.25">
      <c r="A1670">
        <v>33</v>
      </c>
      <c r="B1670">
        <v>0.04</v>
      </c>
      <c r="C1670">
        <v>0.17</v>
      </c>
      <c r="D1670">
        <v>2.5757064899532134</v>
      </c>
      <c r="E1670">
        <v>1.0583866482222135</v>
      </c>
      <c r="F1670">
        <v>0.32798564656238743</v>
      </c>
      <c r="G1670" s="166">
        <v>64.195515889840522</v>
      </c>
    </row>
    <row r="1671" spans="1:7" x14ac:dyDescent="0.25">
      <c r="A1671">
        <v>32</v>
      </c>
      <c r="B1671">
        <v>0.04</v>
      </c>
      <c r="C1671">
        <v>0.17</v>
      </c>
      <c r="D1671">
        <v>2.5552978145864849</v>
      </c>
      <c r="E1671">
        <v>1.0500004949084332</v>
      </c>
      <c r="F1671">
        <v>0.3253868440156889</v>
      </c>
      <c r="G1671" s="166">
        <v>63.775191985952731</v>
      </c>
    </row>
    <row r="1672" spans="1:7" x14ac:dyDescent="0.25">
      <c r="A1672">
        <v>31</v>
      </c>
      <c r="B1672">
        <v>0.04</v>
      </c>
      <c r="C1672">
        <v>0.17</v>
      </c>
      <c r="D1672">
        <v>2.5348808845089588</v>
      </c>
      <c r="E1672">
        <v>1.0416109496415218</v>
      </c>
      <c r="F1672">
        <v>0.32278699032955793</v>
      </c>
      <c r="G1672" s="166">
        <v>63.348050374664226</v>
      </c>
    </row>
    <row r="1673" spans="1:7" x14ac:dyDescent="0.25">
      <c r="A1673">
        <v>30</v>
      </c>
      <c r="B1673">
        <v>0.04</v>
      </c>
      <c r="C1673">
        <v>0.17</v>
      </c>
      <c r="D1673">
        <v>2.5124336523728705</v>
      </c>
      <c r="E1673">
        <v>1.032387130516536</v>
      </c>
      <c r="F1673">
        <v>0.31992860177697685</v>
      </c>
      <c r="G1673" s="166">
        <v>62.905476826713802</v>
      </c>
    </row>
    <row r="1674" spans="1:7" x14ac:dyDescent="0.25">
      <c r="A1674">
        <v>29</v>
      </c>
      <c r="B1674">
        <v>0.04</v>
      </c>
      <c r="C1674">
        <v>0.17</v>
      </c>
      <c r="D1674">
        <v>2.489435319061104</v>
      </c>
      <c r="E1674">
        <v>1.0229368577453632</v>
      </c>
      <c r="F1674">
        <v>0.31700003703152174</v>
      </c>
      <c r="G1674" s="166">
        <v>62.452494794194742</v>
      </c>
    </row>
    <row r="1675" spans="1:7" x14ac:dyDescent="0.25">
      <c r="A1675">
        <v>28</v>
      </c>
      <c r="B1675">
        <v>0.04</v>
      </c>
      <c r="C1675">
        <v>0.17</v>
      </c>
      <c r="D1675">
        <v>2.4641965789441533</v>
      </c>
      <c r="E1675">
        <v>1.0125659767222632</v>
      </c>
      <c r="F1675">
        <v>0.31378618307418338</v>
      </c>
      <c r="G1675" s="166">
        <v>61.985035384711317</v>
      </c>
    </row>
    <row r="1676" spans="1:7" x14ac:dyDescent="0.25">
      <c r="A1676">
        <v>27</v>
      </c>
      <c r="B1676">
        <v>0.04</v>
      </c>
      <c r="C1676">
        <v>0.17</v>
      </c>
      <c r="D1676">
        <v>2.4383264123587405</v>
      </c>
      <c r="E1676">
        <v>1.0019356354904163</v>
      </c>
      <c r="F1676">
        <v>0.31049192445143659</v>
      </c>
      <c r="G1676" s="166">
        <v>61.506268168392637</v>
      </c>
    </row>
    <row r="1677" spans="1:7" x14ac:dyDescent="0.25">
      <c r="A1677">
        <v>26</v>
      </c>
      <c r="B1677">
        <v>0.04</v>
      </c>
      <c r="C1677">
        <v>0.17</v>
      </c>
      <c r="D1677">
        <v>2.4080418774012564</v>
      </c>
      <c r="E1677">
        <v>0.98949138084741073</v>
      </c>
      <c r="F1677">
        <v>0.30663554841728213</v>
      </c>
      <c r="G1677" s="166">
        <v>60.924583212637494</v>
      </c>
    </row>
    <row r="1678" spans="1:7" x14ac:dyDescent="0.25">
      <c r="A1678">
        <v>25</v>
      </c>
      <c r="B1678">
        <v>0.04</v>
      </c>
      <c r="C1678">
        <v>0.17</v>
      </c>
      <c r="D1678">
        <v>2.3728765800554243</v>
      </c>
      <c r="E1678">
        <v>0.97504156626769556</v>
      </c>
      <c r="F1678">
        <v>0.30215766523007903</v>
      </c>
      <c r="G1678" s="166">
        <v>60.268050884212393</v>
      </c>
    </row>
    <row r="1679" spans="1:7" x14ac:dyDescent="0.25">
      <c r="A1679">
        <v>24</v>
      </c>
      <c r="B1679">
        <v>0.04</v>
      </c>
      <c r="C1679">
        <v>0.17</v>
      </c>
      <c r="D1679">
        <v>2.3329600405951978</v>
      </c>
      <c r="E1679">
        <v>0.95863941308264611</v>
      </c>
      <c r="F1679">
        <v>0.29707476775924446</v>
      </c>
      <c r="G1679" s="166">
        <v>59.62611092181919</v>
      </c>
    </row>
    <row r="1680" spans="1:7" x14ac:dyDescent="0.25">
      <c r="A1680">
        <v>23</v>
      </c>
      <c r="B1680">
        <v>0.04</v>
      </c>
      <c r="C1680">
        <v>0.17</v>
      </c>
      <c r="D1680">
        <v>2.2869079296744657</v>
      </c>
      <c r="E1680">
        <v>0.939716084857528</v>
      </c>
      <c r="F1680">
        <v>0.29121057809523759</v>
      </c>
      <c r="G1680" s="166">
        <v>59.017384708794125</v>
      </c>
    </row>
    <row r="1681" spans="1:7" x14ac:dyDescent="0.25">
      <c r="A1681">
        <v>22</v>
      </c>
      <c r="B1681">
        <v>0.04</v>
      </c>
      <c r="C1681">
        <v>0.17</v>
      </c>
      <c r="D1681">
        <v>2.2344647924591081</v>
      </c>
      <c r="E1681">
        <v>0.91816661233955166</v>
      </c>
      <c r="F1681">
        <v>0.28453256709731073</v>
      </c>
      <c r="G1681" s="166">
        <v>58.453829446677119</v>
      </c>
    </row>
    <row r="1682" spans="1:7" x14ac:dyDescent="0.25">
      <c r="A1682">
        <v>21</v>
      </c>
      <c r="B1682">
        <v>0.04</v>
      </c>
      <c r="C1682">
        <v>0.17</v>
      </c>
      <c r="D1682">
        <v>2.174632812059778</v>
      </c>
      <c r="E1682">
        <v>0.89358098139194553</v>
      </c>
      <c r="F1682">
        <v>0.27691367462919464</v>
      </c>
      <c r="G1682" s="166">
        <v>57.958651981359282</v>
      </c>
    </row>
    <row r="1683" spans="1:7" x14ac:dyDescent="0.25">
      <c r="A1683">
        <v>20</v>
      </c>
      <c r="B1683">
        <v>0.04</v>
      </c>
      <c r="C1683">
        <v>0.17</v>
      </c>
      <c r="D1683">
        <v>2.1058361738609577</v>
      </c>
      <c r="E1683">
        <v>0.86531167213787408</v>
      </c>
      <c r="F1683">
        <v>0.26815323940531605</v>
      </c>
      <c r="G1683" s="166">
        <v>57.570870513605165</v>
      </c>
    </row>
    <row r="1684" spans="1:7" x14ac:dyDescent="0.25">
      <c r="A1684">
        <v>19</v>
      </c>
      <c r="B1684">
        <v>0.04</v>
      </c>
      <c r="C1684">
        <v>0.17</v>
      </c>
      <c r="D1684">
        <v>2.0270665193583302</v>
      </c>
      <c r="E1684">
        <v>0.83294433877289431</v>
      </c>
      <c r="F1684">
        <v>0.25812285893987352</v>
      </c>
      <c r="G1684" s="166">
        <v>57.331106012194574</v>
      </c>
    </row>
    <row r="1685" spans="1:7" x14ac:dyDescent="0.25">
      <c r="A1685">
        <v>18</v>
      </c>
      <c r="B1685">
        <v>0.04</v>
      </c>
      <c r="C1685">
        <v>0.17</v>
      </c>
      <c r="D1685">
        <v>1.9359340080940803</v>
      </c>
      <c r="E1685">
        <v>0.79549696908334777</v>
      </c>
      <c r="F1685">
        <v>0.24651821541917412</v>
      </c>
      <c r="G1685" s="166">
        <v>57.320802548206323</v>
      </c>
    </row>
    <row r="1686" spans="1:7" x14ac:dyDescent="0.25">
      <c r="A1686">
        <v>17</v>
      </c>
      <c r="B1686">
        <v>0.04</v>
      </c>
      <c r="C1686">
        <v>0.17</v>
      </c>
      <c r="D1686">
        <v>1.8331372405244442</v>
      </c>
      <c r="E1686">
        <v>0.75325662582199981</v>
      </c>
      <c r="F1686">
        <v>0.23342826731858018</v>
      </c>
      <c r="G1686" s="166">
        <v>57.376367952447417</v>
      </c>
    </row>
    <row r="1687" spans="1:7" x14ac:dyDescent="0.25">
      <c r="A1687">
        <v>16</v>
      </c>
      <c r="B1687">
        <v>0.04</v>
      </c>
      <c r="C1687">
        <v>0.17</v>
      </c>
      <c r="D1687">
        <v>1.7292526052134849</v>
      </c>
      <c r="E1687">
        <v>0.71056926552010824</v>
      </c>
      <c r="F1687">
        <v>0.22019979217466668</v>
      </c>
      <c r="G1687" s="166">
        <v>57.253867530818972</v>
      </c>
    </row>
    <row r="1688" spans="1:7" x14ac:dyDescent="0.25">
      <c r="A1688">
        <v>15</v>
      </c>
      <c r="B1688">
        <v>0.04</v>
      </c>
      <c r="C1688">
        <v>0.17</v>
      </c>
      <c r="D1688">
        <v>1.6253679699025252</v>
      </c>
      <c r="E1688">
        <v>0.66788190521821655</v>
      </c>
      <c r="F1688">
        <v>0.20697131703075311</v>
      </c>
      <c r="G1688" s="166">
        <v>57.11570799462455</v>
      </c>
    </row>
    <row r="1689" spans="1:7" x14ac:dyDescent="0.25">
      <c r="A1689">
        <v>14</v>
      </c>
      <c r="B1689">
        <v>0.04</v>
      </c>
      <c r="C1689">
        <v>0.17</v>
      </c>
      <c r="D1689">
        <v>1.5214833345915664</v>
      </c>
      <c r="E1689">
        <v>0.6251945449163252</v>
      </c>
      <c r="F1689">
        <v>0.19374284188683966</v>
      </c>
      <c r="G1689" s="166">
        <v>56.958681800207849</v>
      </c>
    </row>
    <row r="1690" spans="1:7" x14ac:dyDescent="0.25">
      <c r="A1690">
        <v>13</v>
      </c>
      <c r="B1690">
        <v>0.04</v>
      </c>
      <c r="C1690">
        <v>0.17</v>
      </c>
      <c r="D1690">
        <v>1.4175986992806067</v>
      </c>
      <c r="E1690">
        <v>0.58250718461443352</v>
      </c>
      <c r="F1690">
        <v>0.18051436674292609</v>
      </c>
      <c r="G1690" s="166">
        <v>56.778641181540472</v>
      </c>
    </row>
    <row r="1691" spans="1:7" x14ac:dyDescent="0.25">
      <c r="A1691">
        <v>12</v>
      </c>
      <c r="B1691">
        <v>0.04</v>
      </c>
      <c r="C1691">
        <v>0.17</v>
      </c>
      <c r="D1691">
        <v>1.3136825502980627</v>
      </c>
      <c r="E1691">
        <v>0.53980687499189084</v>
      </c>
      <c r="F1691">
        <v>0.16728187870701941</v>
      </c>
      <c r="G1691" s="166">
        <v>56.57129053952324</v>
      </c>
    </row>
    <row r="1692" spans="1:7" x14ac:dyDescent="0.25">
      <c r="A1692">
        <v>11</v>
      </c>
      <c r="B1692">
        <v>0.04</v>
      </c>
      <c r="C1692">
        <v>0.17</v>
      </c>
      <c r="D1692">
        <v>1.2096327881224795</v>
      </c>
      <c r="E1692">
        <v>0.49705166221167446</v>
      </c>
      <c r="F1692">
        <v>0.15403237661703509</v>
      </c>
      <c r="G1692" s="166">
        <v>56.33365164051262</v>
      </c>
    </row>
    <row r="1693" spans="1:7" x14ac:dyDescent="0.25">
      <c r="A1693">
        <v>10</v>
      </c>
      <c r="B1693">
        <v>0.04</v>
      </c>
      <c r="C1693">
        <v>0.17</v>
      </c>
      <c r="D1693">
        <v>1.1055830259468957</v>
      </c>
      <c r="E1693">
        <v>0.45429644943145781</v>
      </c>
      <c r="F1693">
        <v>0.14078287452705068</v>
      </c>
      <c r="G1693" s="166">
        <v>56.051282910552388</v>
      </c>
    </row>
    <row r="1694" spans="1:7" x14ac:dyDescent="0.25">
      <c r="A1694">
        <v>9</v>
      </c>
      <c r="B1694">
        <v>0.04</v>
      </c>
      <c r="C1694">
        <v>0.17</v>
      </c>
      <c r="D1694">
        <v>1.0015332637713119</v>
      </c>
      <c r="E1694">
        <v>0.41154123665124115</v>
      </c>
      <c r="F1694">
        <v>0.12753337243706628</v>
      </c>
      <c r="G1694" s="166">
        <v>55.710243340069979</v>
      </c>
    </row>
    <row r="1695" spans="1:7" x14ac:dyDescent="0.25">
      <c r="A1695">
        <v>8</v>
      </c>
      <c r="B1695">
        <v>0.04</v>
      </c>
      <c r="C1695">
        <v>0.17</v>
      </c>
      <c r="D1695">
        <v>0.89747228501976617</v>
      </c>
      <c r="E1695">
        <v>0.36878141485432048</v>
      </c>
      <c r="F1695">
        <v>0.11428244204927952</v>
      </c>
      <c r="G1695" s="166">
        <v>55.29072406055063</v>
      </c>
    </row>
    <row r="1696" spans="1:7" x14ac:dyDescent="0.25">
      <c r="A1696">
        <v>7</v>
      </c>
      <c r="B1696">
        <v>0.04</v>
      </c>
      <c r="C1696">
        <v>0.17</v>
      </c>
      <c r="D1696">
        <v>0.79317185078629793</v>
      </c>
      <c r="E1696">
        <v>0.32592319811764281</v>
      </c>
      <c r="F1696">
        <v>0.10100101984832709</v>
      </c>
      <c r="G1696" s="166">
        <v>54.77542422633536</v>
      </c>
    </row>
    <row r="1697" spans="1:7" x14ac:dyDescent="0.25">
      <c r="A1697">
        <v>6</v>
      </c>
      <c r="B1697">
        <v>0.04</v>
      </c>
      <c r="C1697">
        <v>0.17</v>
      </c>
      <c r="D1697">
        <v>0.68887141655282935</v>
      </c>
      <c r="E1697">
        <v>0.28306498138096514</v>
      </c>
      <c r="F1697">
        <v>8.7719597647374636E-2</v>
      </c>
      <c r="G1697" s="166">
        <v>54.104083670506029</v>
      </c>
    </row>
    <row r="1698" spans="1:7" x14ac:dyDescent="0.25">
      <c r="A1698">
        <v>5</v>
      </c>
      <c r="B1698">
        <v>0.04</v>
      </c>
      <c r="C1698">
        <v>0.17</v>
      </c>
      <c r="D1698">
        <v>0.58424466954237386</v>
      </c>
      <c r="E1698">
        <v>0.24007267906906585</v>
      </c>
      <c r="F1698">
        <v>7.4396623387769867E-2</v>
      </c>
      <c r="G1698" s="166">
        <v>53.21897022321599</v>
      </c>
    </row>
    <row r="1699" spans="1:7" x14ac:dyDescent="0.25">
      <c r="A1699">
        <v>4</v>
      </c>
      <c r="B1699">
        <v>0.04</v>
      </c>
      <c r="C1699">
        <v>0.17</v>
      </c>
      <c r="D1699">
        <v>0.47929965496305271</v>
      </c>
      <c r="E1699">
        <v>0.1969495970480796</v>
      </c>
      <c r="F1699">
        <v>6.1033121531266395E-2</v>
      </c>
      <c r="G1699" s="166">
        <v>51.977819752739144</v>
      </c>
    </row>
    <row r="1700" spans="1:7" x14ac:dyDescent="0.25">
      <c r="A1700">
        <v>3</v>
      </c>
      <c r="B1700">
        <v>0.04</v>
      </c>
      <c r="C1700">
        <v>0.17</v>
      </c>
      <c r="D1700">
        <v>0.37363601009386338</v>
      </c>
      <c r="E1700">
        <v>0.15353122179132625</v>
      </c>
      <c r="F1700">
        <v>4.7578110637851639E-2</v>
      </c>
      <c r="G1700" s="166">
        <v>50.124573116568726</v>
      </c>
    </row>
    <row r="1701" spans="1:7" x14ac:dyDescent="0.25">
      <c r="A1701">
        <v>2</v>
      </c>
      <c r="B1701">
        <v>0.04</v>
      </c>
      <c r="C1701">
        <v>0.17</v>
      </c>
      <c r="D1701">
        <v>0.26636334218826069</v>
      </c>
      <c r="E1701">
        <v>0.10945168094561142</v>
      </c>
      <c r="F1701">
        <v>3.3918209760663398E-2</v>
      </c>
      <c r="G1701" s="166">
        <v>47.058325805326461</v>
      </c>
    </row>
    <row r="1702" spans="1:7" x14ac:dyDescent="0.25">
      <c r="A1702">
        <v>1</v>
      </c>
      <c r="B1702">
        <v>0.04</v>
      </c>
      <c r="C1702">
        <v>0.17</v>
      </c>
      <c r="D1702">
        <v>0.15303032504214736</v>
      </c>
      <c r="E1702">
        <v>6.2881874712617691E-2</v>
      </c>
      <c r="F1702">
        <v>1.9486595347093575E-2</v>
      </c>
      <c r="G1702" s="166">
        <v>41.273460574561923</v>
      </c>
    </row>
    <row r="1703" spans="1:7" x14ac:dyDescent="0.25">
      <c r="A1703">
        <v>50</v>
      </c>
      <c r="B1703">
        <v>3.5000000000000003E-2</v>
      </c>
      <c r="C1703">
        <v>0.17</v>
      </c>
      <c r="D1703">
        <v>2.7931554422157978</v>
      </c>
      <c r="E1703">
        <v>1.1477388584380637</v>
      </c>
      <c r="F1703">
        <v>0.35567518940445753</v>
      </c>
      <c r="G1703" s="166">
        <v>69.585757133587649</v>
      </c>
    </row>
    <row r="1704" spans="1:7" x14ac:dyDescent="0.25">
      <c r="A1704">
        <v>49</v>
      </c>
      <c r="B1704">
        <v>3.5000000000000003E-2</v>
      </c>
      <c r="C1704">
        <v>0.17</v>
      </c>
      <c r="D1704">
        <v>2.7832788928315018</v>
      </c>
      <c r="E1704">
        <v>1.1436804736649462</v>
      </c>
      <c r="F1704">
        <v>0.35441752807998245</v>
      </c>
      <c r="G1704" s="166">
        <v>69.31667800827914</v>
      </c>
    </row>
    <row r="1705" spans="1:7" x14ac:dyDescent="0.25">
      <c r="A1705">
        <v>48</v>
      </c>
      <c r="B1705">
        <v>3.5000000000000003E-2</v>
      </c>
      <c r="C1705">
        <v>0.17</v>
      </c>
      <c r="D1705">
        <v>2.7734023434472062</v>
      </c>
      <c r="E1705">
        <v>1.1396220888918287</v>
      </c>
      <c r="F1705">
        <v>0.35315986675550742</v>
      </c>
      <c r="G1705" s="166">
        <v>69.045682411474402</v>
      </c>
    </row>
    <row r="1706" spans="1:7" x14ac:dyDescent="0.25">
      <c r="A1706">
        <v>47</v>
      </c>
      <c r="B1706">
        <v>3.5000000000000003E-2</v>
      </c>
      <c r="C1706">
        <v>0.17</v>
      </c>
      <c r="D1706">
        <v>2.7635257940629105</v>
      </c>
      <c r="E1706">
        <v>1.1355637041187112</v>
      </c>
      <c r="F1706">
        <v>0.35190220543103229</v>
      </c>
      <c r="G1706" s="166">
        <v>68.772749795373159</v>
      </c>
    </row>
    <row r="1707" spans="1:7" x14ac:dyDescent="0.25">
      <c r="A1707">
        <v>46</v>
      </c>
      <c r="B1707">
        <v>3.5000000000000003E-2</v>
      </c>
      <c r="C1707">
        <v>0.17</v>
      </c>
      <c r="D1707">
        <v>2.753001258186643</v>
      </c>
      <c r="E1707">
        <v>1.1312390544376913</v>
      </c>
      <c r="F1707">
        <v>0.3505620307187306</v>
      </c>
      <c r="G1707" s="166">
        <v>68.489741990077746</v>
      </c>
    </row>
    <row r="1708" spans="1:7" x14ac:dyDescent="0.25">
      <c r="A1708">
        <v>45</v>
      </c>
      <c r="B1708">
        <v>3.5000000000000003E-2</v>
      </c>
      <c r="C1708">
        <v>0.17</v>
      </c>
      <c r="D1708">
        <v>2.7414102485007654</v>
      </c>
      <c r="E1708">
        <v>1.1264761787223105</v>
      </c>
      <c r="F1708">
        <v>0.34908605322635627</v>
      </c>
      <c r="G1708" s="166">
        <v>68.191031737423884</v>
      </c>
    </row>
    <row r="1709" spans="1:7" x14ac:dyDescent="0.25">
      <c r="A1709">
        <v>44</v>
      </c>
      <c r="B1709">
        <v>3.5000000000000003E-2</v>
      </c>
      <c r="C1709">
        <v>0.17</v>
      </c>
      <c r="D1709">
        <v>2.7298192388148883</v>
      </c>
      <c r="E1709">
        <v>1.1217133030069297</v>
      </c>
      <c r="F1709">
        <v>0.347610075733982</v>
      </c>
      <c r="G1709" s="166">
        <v>67.889784794147744</v>
      </c>
    </row>
    <row r="1710" spans="1:7" x14ac:dyDescent="0.25">
      <c r="A1710">
        <v>43</v>
      </c>
      <c r="B1710">
        <v>3.5000000000000003E-2</v>
      </c>
      <c r="C1710">
        <v>0.17</v>
      </c>
      <c r="D1710">
        <v>2.7182282291290112</v>
      </c>
      <c r="E1710">
        <v>1.1169504272915489</v>
      </c>
      <c r="F1710">
        <v>0.34613409824160773</v>
      </c>
      <c r="G1710" s="166">
        <v>67.585968709546435</v>
      </c>
    </row>
    <row r="1711" spans="1:7" x14ac:dyDescent="0.25">
      <c r="A1711">
        <v>42</v>
      </c>
      <c r="B1711">
        <v>3.5000000000000003E-2</v>
      </c>
      <c r="C1711">
        <v>0.17</v>
      </c>
      <c r="D1711">
        <v>2.7054462550709344</v>
      </c>
      <c r="E1711">
        <v>1.1116981709751714</v>
      </c>
      <c r="F1711">
        <v>0.34450646557378067</v>
      </c>
      <c r="G1711" s="166">
        <v>67.266798545333231</v>
      </c>
    </row>
    <row r="1712" spans="1:7" x14ac:dyDescent="0.25">
      <c r="A1712">
        <v>41</v>
      </c>
      <c r="B1712">
        <v>3.5000000000000003E-2</v>
      </c>
      <c r="C1712">
        <v>0.17</v>
      </c>
      <c r="D1712">
        <v>2.6919905173085064</v>
      </c>
      <c r="E1712">
        <v>1.1061690576055843</v>
      </c>
      <c r="F1712">
        <v>0.34279303709611902</v>
      </c>
      <c r="G1712" s="166">
        <v>66.937264167028061</v>
      </c>
    </row>
    <row r="1713" spans="1:7" x14ac:dyDescent="0.25">
      <c r="A1713">
        <v>40</v>
      </c>
      <c r="B1713">
        <v>3.5000000000000003E-2</v>
      </c>
      <c r="C1713">
        <v>0.17</v>
      </c>
      <c r="D1713">
        <v>2.6785347795460788</v>
      </c>
      <c r="E1713">
        <v>1.1006399442359969</v>
      </c>
      <c r="F1713">
        <v>0.34107960861845732</v>
      </c>
      <c r="G1713" s="166">
        <v>66.604418927716296</v>
      </c>
    </row>
    <row r="1714" spans="1:7" x14ac:dyDescent="0.25">
      <c r="A1714">
        <v>39</v>
      </c>
      <c r="B1714">
        <v>3.5000000000000003E-2</v>
      </c>
      <c r="C1714">
        <v>0.17</v>
      </c>
      <c r="D1714">
        <v>2.6642740072391407</v>
      </c>
      <c r="E1714">
        <v>1.0947800331545623</v>
      </c>
      <c r="F1714">
        <v>0.33926366854771778</v>
      </c>
      <c r="G1714" s="166">
        <v>66.261056760390801</v>
      </c>
    </row>
    <row r="1715" spans="1:7" x14ac:dyDescent="0.25">
      <c r="A1715">
        <v>38</v>
      </c>
      <c r="B1715">
        <v>3.5000000000000003E-2</v>
      </c>
      <c r="C1715">
        <v>0.17</v>
      </c>
      <c r="D1715">
        <v>2.6488002989056345</v>
      </c>
      <c r="E1715">
        <v>1.0884217130732377</v>
      </c>
      <c r="F1715">
        <v>0.33729327547215621</v>
      </c>
      <c r="G1715" s="166">
        <v>65.90299213386524</v>
      </c>
    </row>
    <row r="1716" spans="1:7" x14ac:dyDescent="0.25">
      <c r="A1716">
        <v>37</v>
      </c>
      <c r="B1716">
        <v>3.5000000000000003E-2</v>
      </c>
      <c r="C1716">
        <v>0.17</v>
      </c>
      <c r="D1716">
        <v>2.6333265905721288</v>
      </c>
      <c r="E1716">
        <v>1.082063392991913</v>
      </c>
      <c r="F1716">
        <v>0.33532288239659463</v>
      </c>
      <c r="G1716" s="166">
        <v>65.540719455353099</v>
      </c>
    </row>
    <row r="1717" spans="1:7" x14ac:dyDescent="0.25">
      <c r="A1717">
        <v>36</v>
      </c>
      <c r="B1717">
        <v>3.5000000000000003E-2</v>
      </c>
      <c r="C1717">
        <v>0.17</v>
      </c>
      <c r="D1717">
        <v>2.6166231097819508</v>
      </c>
      <c r="E1717">
        <v>1.0751997456329774</v>
      </c>
      <c r="F1717">
        <v>0.33319589239669428</v>
      </c>
      <c r="G1717" s="166">
        <v>65.165285140951781</v>
      </c>
    </row>
    <row r="1718" spans="1:7" x14ac:dyDescent="0.25">
      <c r="A1718">
        <v>35</v>
      </c>
      <c r="B1718">
        <v>3.5000000000000003E-2</v>
      </c>
      <c r="C1718">
        <v>0.17</v>
      </c>
      <c r="D1718">
        <v>2.5989751676386263</v>
      </c>
      <c r="E1718">
        <v>1.0679480085247512</v>
      </c>
      <c r="F1718">
        <v>0.33094863645470263</v>
      </c>
      <c r="G1718" s="166">
        <v>64.778020053517352</v>
      </c>
    </row>
    <row r="1719" spans="1:7" x14ac:dyDescent="0.25">
      <c r="A1719">
        <v>34</v>
      </c>
      <c r="B1719">
        <v>3.5000000000000003E-2</v>
      </c>
      <c r="C1719">
        <v>0.17</v>
      </c>
      <c r="D1719">
        <v>2.5811699655349893</v>
      </c>
      <c r="E1719">
        <v>1.060631651537302</v>
      </c>
      <c r="F1719">
        <v>0.32868135532352005</v>
      </c>
      <c r="G1719" s="166">
        <v>64.38459568658844</v>
      </c>
    </row>
    <row r="1720" spans="1:7" x14ac:dyDescent="0.25">
      <c r="A1720">
        <v>33</v>
      </c>
      <c r="B1720">
        <v>3.5000000000000003E-2</v>
      </c>
      <c r="C1720">
        <v>0.17</v>
      </c>
      <c r="D1720">
        <v>2.5611884589339979</v>
      </c>
      <c r="E1720">
        <v>1.0524210266542482</v>
      </c>
      <c r="F1720">
        <v>0.32613694764842976</v>
      </c>
      <c r="G1720" s="166">
        <v>63.973316154475903</v>
      </c>
    </row>
    <row r="1721" spans="1:7" x14ac:dyDescent="0.25">
      <c r="A1721">
        <v>32</v>
      </c>
      <c r="B1721">
        <v>3.5000000000000003E-2</v>
      </c>
      <c r="C1721">
        <v>0.17</v>
      </c>
      <c r="D1721">
        <v>2.5412069523330065</v>
      </c>
      <c r="E1721">
        <v>1.0442104017711944</v>
      </c>
      <c r="F1721">
        <v>0.32359253997333953</v>
      </c>
      <c r="G1721" s="166">
        <v>63.555568841627753</v>
      </c>
    </row>
    <row r="1722" spans="1:7" x14ac:dyDescent="0.25">
      <c r="A1722">
        <v>31</v>
      </c>
      <c r="B1722">
        <v>3.5000000000000003E-2</v>
      </c>
      <c r="C1722">
        <v>0.17</v>
      </c>
      <c r="D1722">
        <v>2.5191070783075902</v>
      </c>
      <c r="E1722">
        <v>1.0351293159847781</v>
      </c>
      <c r="F1722">
        <v>0.32077838335283687</v>
      </c>
      <c r="G1722" s="166">
        <v>63.122542301082163</v>
      </c>
    </row>
    <row r="1723" spans="1:7" x14ac:dyDescent="0.25">
      <c r="A1723">
        <v>30</v>
      </c>
      <c r="B1723">
        <v>3.5000000000000003E-2</v>
      </c>
      <c r="C1723">
        <v>0.17</v>
      </c>
      <c r="D1723">
        <v>2.4966295618784518</v>
      </c>
      <c r="E1723">
        <v>1.025893052704552</v>
      </c>
      <c r="F1723">
        <v>0.31791613845502575</v>
      </c>
      <c r="G1723" s="166">
        <v>62.680225447517174</v>
      </c>
    </row>
    <row r="1724" spans="1:7" x14ac:dyDescent="0.25">
      <c r="A1724">
        <v>29</v>
      </c>
      <c r="B1724">
        <v>3.5000000000000003E-2</v>
      </c>
      <c r="C1724">
        <v>0.17</v>
      </c>
      <c r="D1724">
        <v>2.4718481134337553</v>
      </c>
      <c r="E1724">
        <v>1.0157100779518851</v>
      </c>
      <c r="F1724">
        <v>0.31476051516386655</v>
      </c>
      <c r="G1724" s="166">
        <v>62.223912862515164</v>
      </c>
    </row>
    <row r="1725" spans="1:7" x14ac:dyDescent="0.25">
      <c r="A1725">
        <v>28</v>
      </c>
      <c r="B1725">
        <v>3.5000000000000003E-2</v>
      </c>
      <c r="C1725">
        <v>0.17</v>
      </c>
      <c r="D1725">
        <v>2.4464742356916322</v>
      </c>
      <c r="E1725">
        <v>1.0052836673648722</v>
      </c>
      <c r="F1725">
        <v>0.31152945303411417</v>
      </c>
      <c r="G1725" s="166">
        <v>61.757126551431973</v>
      </c>
    </row>
    <row r="1726" spans="1:7" x14ac:dyDescent="0.25">
      <c r="A1726">
        <v>27</v>
      </c>
      <c r="B1726">
        <v>3.5000000000000003E-2</v>
      </c>
      <c r="C1726">
        <v>0.17</v>
      </c>
      <c r="D1726">
        <v>2.4163641119320731</v>
      </c>
      <c r="E1726">
        <v>0.99291108023674224</v>
      </c>
      <c r="F1726">
        <v>0.30769528619566672</v>
      </c>
      <c r="G1726" s="166">
        <v>61.173618534577123</v>
      </c>
    </row>
    <row r="1727" spans="1:7" x14ac:dyDescent="0.25">
      <c r="A1727">
        <v>26</v>
      </c>
      <c r="B1727">
        <v>3.5000000000000003E-2</v>
      </c>
      <c r="C1727">
        <v>0.17</v>
      </c>
      <c r="D1727">
        <v>2.3812052424248868</v>
      </c>
      <c r="E1727">
        <v>0.9784639069279274</v>
      </c>
      <c r="F1727">
        <v>0.30321822151741351</v>
      </c>
      <c r="G1727" s="166">
        <v>60.544311139633813</v>
      </c>
    </row>
    <row r="1728" spans="1:7" x14ac:dyDescent="0.25">
      <c r="A1728">
        <v>25</v>
      </c>
      <c r="B1728">
        <v>3.5000000000000003E-2</v>
      </c>
      <c r="C1728">
        <v>0.17</v>
      </c>
      <c r="D1728">
        <v>2.340716548690009</v>
      </c>
      <c r="E1728">
        <v>0.96182664914249882</v>
      </c>
      <c r="F1728">
        <v>0.29806246699146144</v>
      </c>
      <c r="G1728" s="166">
        <v>59.937918916460006</v>
      </c>
    </row>
    <row r="1729" spans="1:7" x14ac:dyDescent="0.25">
      <c r="A1729">
        <v>24</v>
      </c>
      <c r="B1729">
        <v>3.5000000000000003E-2</v>
      </c>
      <c r="C1729">
        <v>0.17</v>
      </c>
      <c r="D1729">
        <v>2.2942318265102224</v>
      </c>
      <c r="E1729">
        <v>0.9427255561051866</v>
      </c>
      <c r="F1729">
        <v>0.29214318941892747</v>
      </c>
      <c r="G1729" s="166">
        <v>59.369441462569462</v>
      </c>
    </row>
    <row r="1730" spans="1:7" x14ac:dyDescent="0.25">
      <c r="A1730">
        <v>23</v>
      </c>
      <c r="B1730">
        <v>3.5000000000000003E-2</v>
      </c>
      <c r="C1730">
        <v>0.17</v>
      </c>
      <c r="D1730">
        <v>2.2409164010265248</v>
      </c>
      <c r="E1730">
        <v>0.92081765056690579</v>
      </c>
      <c r="F1730">
        <v>0.28535410286452856</v>
      </c>
      <c r="G1730" s="166">
        <v>58.858501866734848</v>
      </c>
    </row>
    <row r="1731" spans="1:7" x14ac:dyDescent="0.25">
      <c r="A1731">
        <v>22</v>
      </c>
      <c r="B1731">
        <v>3.5000000000000003E-2</v>
      </c>
      <c r="C1731">
        <v>0.17</v>
      </c>
      <c r="D1731">
        <v>2.1798883920680221</v>
      </c>
      <c r="E1731">
        <v>0.8957405580871497</v>
      </c>
      <c r="F1731">
        <v>0.27758291035686311</v>
      </c>
      <c r="G1731" s="166">
        <v>58.42995247487044</v>
      </c>
    </row>
    <row r="1732" spans="1:7" x14ac:dyDescent="0.25">
      <c r="A1732">
        <v>21</v>
      </c>
      <c r="B1732">
        <v>3.5000000000000003E-2</v>
      </c>
      <c r="C1732">
        <v>0.17</v>
      </c>
      <c r="D1732">
        <v>2.1096106032261281</v>
      </c>
      <c r="E1732">
        <v>0.866862627442889</v>
      </c>
      <c r="F1732">
        <v>0.26863386818059315</v>
      </c>
      <c r="G1732" s="166">
        <v>58.1265285630178</v>
      </c>
    </row>
    <row r="1733" spans="1:7" x14ac:dyDescent="0.25">
      <c r="A1733">
        <v>20</v>
      </c>
      <c r="B1733">
        <v>3.5000000000000003E-2</v>
      </c>
      <c r="C1733">
        <v>0.17</v>
      </c>
      <c r="D1733">
        <v>2.0289609846061483</v>
      </c>
      <c r="E1733">
        <v>0.83372279576387243</v>
      </c>
      <c r="F1733">
        <v>0.25836409660092668</v>
      </c>
      <c r="G1733" s="166">
        <v>57.996053313209273</v>
      </c>
    </row>
    <row r="1734" spans="1:7" x14ac:dyDescent="0.25">
      <c r="A1734">
        <v>19</v>
      </c>
      <c r="B1734">
        <v>3.5000000000000003E-2</v>
      </c>
      <c r="C1734">
        <v>0.17</v>
      </c>
      <c r="D1734">
        <v>1.9360332284306707</v>
      </c>
      <c r="E1734">
        <v>0.79553773983105869</v>
      </c>
      <c r="F1734">
        <v>0.24653084995124358</v>
      </c>
      <c r="G1734" s="166">
        <v>58.109171320099264</v>
      </c>
    </row>
    <row r="1735" spans="1:7" x14ac:dyDescent="0.25">
      <c r="A1735">
        <v>18</v>
      </c>
      <c r="B1735">
        <v>3.5000000000000003E-2</v>
      </c>
      <c r="C1735">
        <v>0.17</v>
      </c>
      <c r="D1735">
        <v>1.8376309340321868</v>
      </c>
      <c r="E1735">
        <v>0.75510313481995794</v>
      </c>
      <c r="F1735">
        <v>0.23400048584438626</v>
      </c>
      <c r="G1735" s="166">
        <v>58.016300572679057</v>
      </c>
    </row>
    <row r="1736" spans="1:7" x14ac:dyDescent="0.25">
      <c r="A1736">
        <v>17</v>
      </c>
      <c r="B1736">
        <v>3.5000000000000003E-2</v>
      </c>
      <c r="C1736">
        <v>0.17</v>
      </c>
      <c r="D1736">
        <v>1.7392286396337024</v>
      </c>
      <c r="E1736">
        <v>0.71466852980885698</v>
      </c>
      <c r="F1736">
        <v>0.22147012173752889</v>
      </c>
      <c r="G1736" s="166">
        <v>57.899901337849656</v>
      </c>
    </row>
    <row r="1737" spans="1:7" x14ac:dyDescent="0.25">
      <c r="A1737">
        <v>16</v>
      </c>
      <c r="B1737">
        <v>3.5000000000000003E-2</v>
      </c>
      <c r="C1737">
        <v>0.17</v>
      </c>
      <c r="D1737">
        <v>1.640826345235219</v>
      </c>
      <c r="E1737">
        <v>0.67423392479775646</v>
      </c>
      <c r="F1737">
        <v>0.20893975763067166</v>
      </c>
      <c r="G1737" s="166">
        <v>57.769540903766327</v>
      </c>
    </row>
    <row r="1738" spans="1:7" x14ac:dyDescent="0.25">
      <c r="A1738">
        <v>15</v>
      </c>
      <c r="B1738">
        <v>3.5000000000000003E-2</v>
      </c>
      <c r="C1738">
        <v>0.17</v>
      </c>
      <c r="D1738">
        <v>1.5424240508367353</v>
      </c>
      <c r="E1738">
        <v>0.63379931978665582</v>
      </c>
      <c r="F1738">
        <v>0.1964093935238144</v>
      </c>
      <c r="G1738" s="166">
        <v>57.622547215286275</v>
      </c>
    </row>
    <row r="1739" spans="1:7" x14ac:dyDescent="0.25">
      <c r="A1739">
        <v>14</v>
      </c>
      <c r="B1739">
        <v>3.5000000000000003E-2</v>
      </c>
      <c r="C1739">
        <v>0.17</v>
      </c>
      <c r="D1739">
        <v>1.4440217564382516</v>
      </c>
      <c r="E1739">
        <v>0.59336471477555508</v>
      </c>
      <c r="F1739">
        <v>0.18387902941695711</v>
      </c>
      <c r="G1739" s="166">
        <v>57.455519872681521</v>
      </c>
    </row>
    <row r="1740" spans="1:7" x14ac:dyDescent="0.25">
      <c r="A1740">
        <v>13</v>
      </c>
      <c r="B1740">
        <v>3.5000000000000003E-2</v>
      </c>
      <c r="C1740">
        <v>0.17</v>
      </c>
      <c r="D1740">
        <v>1.3456194620397675</v>
      </c>
      <c r="E1740">
        <v>0.55293010976445434</v>
      </c>
      <c r="F1740">
        <v>0.17134866531009979</v>
      </c>
      <c r="G1740" s="166">
        <v>57.2640638201729</v>
      </c>
    </row>
    <row r="1741" spans="1:7" x14ac:dyDescent="0.25">
      <c r="A1741">
        <v>12</v>
      </c>
      <c r="B1741">
        <v>3.5000000000000003E-2</v>
      </c>
      <c r="C1741">
        <v>0.17</v>
      </c>
      <c r="D1741">
        <v>1.2471816930160171</v>
      </c>
      <c r="E1741">
        <v>0.51248092783246646</v>
      </c>
      <c r="F1741">
        <v>0.15881378393081649</v>
      </c>
      <c r="G1741" s="166">
        <v>57.043827545484142</v>
      </c>
    </row>
    <row r="1742" spans="1:7" x14ac:dyDescent="0.25">
      <c r="A1742">
        <v>11</v>
      </c>
      <c r="B1742">
        <v>3.5000000000000003E-2</v>
      </c>
      <c r="C1742">
        <v>0.17</v>
      </c>
      <c r="D1742">
        <v>1.1486161737398477</v>
      </c>
      <c r="E1742">
        <v>0.47197925189077866</v>
      </c>
      <c r="F1742">
        <v>0.14626263507334744</v>
      </c>
      <c r="G1742" s="166">
        <v>56.791411761417201</v>
      </c>
    </row>
    <row r="1743" spans="1:7" x14ac:dyDescent="0.25">
      <c r="A1743">
        <v>10</v>
      </c>
      <c r="B1743">
        <v>3.5000000000000003E-2</v>
      </c>
      <c r="C1743">
        <v>0.17</v>
      </c>
      <c r="D1743">
        <v>1.050050654463677</v>
      </c>
      <c r="E1743">
        <v>0.43147757594909047</v>
      </c>
      <c r="F1743">
        <v>0.13371148621587822</v>
      </c>
      <c r="G1743" s="166">
        <v>56.491608753268686</v>
      </c>
    </row>
    <row r="1744" spans="1:7" x14ac:dyDescent="0.25">
      <c r="A1744">
        <v>9</v>
      </c>
      <c r="B1744">
        <v>3.5000000000000003E-2</v>
      </c>
      <c r="C1744">
        <v>0.17</v>
      </c>
      <c r="D1744">
        <v>0.95148513518750677</v>
      </c>
      <c r="E1744">
        <v>0.39097590000740245</v>
      </c>
      <c r="F1744">
        <v>0.12116033735840907</v>
      </c>
      <c r="G1744" s="166">
        <v>56.129691817984806</v>
      </c>
    </row>
    <row r="1745" spans="1:7" x14ac:dyDescent="0.25">
      <c r="A1745">
        <v>8</v>
      </c>
      <c r="B1745">
        <v>3.5000000000000003E-2</v>
      </c>
      <c r="C1745">
        <v>0.17</v>
      </c>
      <c r="D1745">
        <v>0.85289995815524633</v>
      </c>
      <c r="E1745">
        <v>0.35046614647354268</v>
      </c>
      <c r="F1745">
        <v>0.1086066853190493</v>
      </c>
      <c r="G1745" s="166">
        <v>55.685264971428317</v>
      </c>
    </row>
    <row r="1746" spans="1:7" x14ac:dyDescent="0.25">
      <c r="A1746">
        <v>7</v>
      </c>
      <c r="B1746">
        <v>3.5000000000000003E-2</v>
      </c>
      <c r="C1746">
        <v>0.17</v>
      </c>
      <c r="D1746">
        <v>0.75408729272066677</v>
      </c>
      <c r="E1746">
        <v>0.30986291540698307</v>
      </c>
      <c r="F1746">
        <v>9.6024065332056083E-2</v>
      </c>
      <c r="G1746" s="166">
        <v>55.139397526385423</v>
      </c>
    </row>
    <row r="1747" spans="1:7" x14ac:dyDescent="0.25">
      <c r="A1747">
        <v>6</v>
      </c>
      <c r="B1747">
        <v>3.5000000000000003E-2</v>
      </c>
      <c r="C1747">
        <v>0.17</v>
      </c>
      <c r="D1747">
        <v>0.65527397014755329</v>
      </c>
      <c r="E1747">
        <v>0.26925941431483896</v>
      </c>
      <c r="F1747">
        <v>8.3441361666271141E-2</v>
      </c>
      <c r="G1747" s="166">
        <v>54.428949717248919</v>
      </c>
    </row>
    <row r="1748" spans="1:7" x14ac:dyDescent="0.25">
      <c r="A1748">
        <v>5</v>
      </c>
      <c r="B1748">
        <v>3.5000000000000003E-2</v>
      </c>
      <c r="C1748">
        <v>0.17</v>
      </c>
      <c r="D1748">
        <v>0.55612819357236909</v>
      </c>
      <c r="E1748">
        <v>0.22851930414929608</v>
      </c>
      <c r="F1748">
        <v>7.0816323929718913E-2</v>
      </c>
      <c r="G1748" s="166">
        <v>53.494628716776553</v>
      </c>
    </row>
    <row r="1749" spans="1:7" x14ac:dyDescent="0.25">
      <c r="A1749">
        <v>4</v>
      </c>
      <c r="B1749">
        <v>3.5000000000000003E-2</v>
      </c>
      <c r="C1749">
        <v>0.17</v>
      </c>
      <c r="D1749">
        <v>0.45666525793067364</v>
      </c>
      <c r="E1749">
        <v>0.18764886977070039</v>
      </c>
      <c r="F1749">
        <v>5.8150899750884312E-2</v>
      </c>
      <c r="G1749" s="166">
        <v>52.18729290498743</v>
      </c>
    </row>
    <row r="1750" spans="1:7" x14ac:dyDescent="0.25">
      <c r="A1750">
        <v>3</v>
      </c>
      <c r="B1750">
        <v>3.5000000000000003E-2</v>
      </c>
      <c r="C1750">
        <v>0.17</v>
      </c>
      <c r="D1750">
        <v>0.35647017871774173</v>
      </c>
      <c r="E1750">
        <v>0.14647758939765582</v>
      </c>
      <c r="F1750">
        <v>4.5392245779165646E-2</v>
      </c>
      <c r="G1750" s="166">
        <v>50.243784488724984</v>
      </c>
    </row>
    <row r="1751" spans="1:7" x14ac:dyDescent="0.25">
      <c r="A1751">
        <v>2</v>
      </c>
      <c r="B1751">
        <v>3.5000000000000003E-2</v>
      </c>
      <c r="C1751">
        <v>0.17</v>
      </c>
      <c r="D1751">
        <v>0.25462988908024103</v>
      </c>
      <c r="E1751">
        <v>0.10463027363250757</v>
      </c>
      <c r="F1751">
        <v>3.2424093789354416E-2</v>
      </c>
      <c r="G1751" s="166">
        <v>47.052388050051235</v>
      </c>
    </row>
    <row r="1752" spans="1:7" x14ac:dyDescent="0.25">
      <c r="A1752">
        <v>1</v>
      </c>
      <c r="B1752">
        <v>3.5000000000000003E-2</v>
      </c>
      <c r="C1752">
        <v>0.17</v>
      </c>
      <c r="D1752">
        <v>0.14655865565732595</v>
      </c>
      <c r="E1752">
        <v>6.0222593270682946E-2</v>
      </c>
      <c r="F1752">
        <v>1.8662505072911281E-2</v>
      </c>
      <c r="G1752" s="166">
        <v>41.147339560788545</v>
      </c>
    </row>
    <row r="1753" spans="1:7" x14ac:dyDescent="0.25">
      <c r="A1753">
        <v>50</v>
      </c>
      <c r="B1753">
        <v>3.0000000000000002E-2</v>
      </c>
      <c r="C1753">
        <v>0.17</v>
      </c>
      <c r="D1753">
        <v>2.7858451510681652</v>
      </c>
      <c r="E1753">
        <v>1.144734977920058</v>
      </c>
      <c r="F1753">
        <v>0.35474431060364392</v>
      </c>
      <c r="G1753" s="166">
        <v>69.421633950941882</v>
      </c>
    </row>
    <row r="1754" spans="1:7" x14ac:dyDescent="0.25">
      <c r="A1754">
        <v>49</v>
      </c>
      <c r="B1754">
        <v>3.0000000000000002E-2</v>
      </c>
      <c r="C1754">
        <v>0.17</v>
      </c>
      <c r="D1754">
        <v>2.7761134447532689</v>
      </c>
      <c r="E1754">
        <v>1.140736110786601</v>
      </c>
      <c r="F1754">
        <v>0.35350509332469665</v>
      </c>
      <c r="G1754" s="166">
        <v>69.154545858577677</v>
      </c>
    </row>
    <row r="1755" spans="1:7" x14ac:dyDescent="0.25">
      <c r="A1755">
        <v>48</v>
      </c>
      <c r="B1755">
        <v>3.0000000000000002E-2</v>
      </c>
      <c r="C1755">
        <v>0.17</v>
      </c>
      <c r="D1755">
        <v>2.7663817384383727</v>
      </c>
      <c r="E1755">
        <v>1.1367372436531438</v>
      </c>
      <c r="F1755">
        <v>0.35226587604574944</v>
      </c>
      <c r="G1755" s="166">
        <v>68.885578616391896</v>
      </c>
    </row>
    <row r="1756" spans="1:7" x14ac:dyDescent="0.25">
      <c r="A1756">
        <v>47</v>
      </c>
      <c r="B1756">
        <v>3.0000000000000002E-2</v>
      </c>
      <c r="C1756">
        <v>0.17</v>
      </c>
      <c r="D1756">
        <v>2.7558146842218409</v>
      </c>
      <c r="E1756">
        <v>1.1323951227098445</v>
      </c>
      <c r="F1756">
        <v>0.35092028712752921</v>
      </c>
      <c r="G1756" s="166">
        <v>68.604294022738557</v>
      </c>
    </row>
    <row r="1757" spans="1:7" x14ac:dyDescent="0.25">
      <c r="A1757">
        <v>46</v>
      </c>
      <c r="B1757">
        <v>3.0000000000000002E-2</v>
      </c>
      <c r="C1757">
        <v>0.17</v>
      </c>
      <c r="D1757">
        <v>2.744408686802621</v>
      </c>
      <c r="E1757">
        <v>1.1277082706072283</v>
      </c>
      <c r="F1757">
        <v>0.34946786875112495</v>
      </c>
      <c r="G1757" s="166">
        <v>68.310247519421836</v>
      </c>
    </row>
    <row r="1758" spans="1:7" x14ac:dyDescent="0.25">
      <c r="A1758">
        <v>45</v>
      </c>
      <c r="B1758">
        <v>3.0000000000000002E-2</v>
      </c>
      <c r="C1758">
        <v>0.17</v>
      </c>
      <c r="D1758">
        <v>2.733002689383401</v>
      </c>
      <c r="E1758">
        <v>1.1230214185046121</v>
      </c>
      <c r="F1758">
        <v>0.34801545037472065</v>
      </c>
      <c r="G1758" s="166">
        <v>68.013746650676921</v>
      </c>
    </row>
    <row r="1759" spans="1:7" x14ac:dyDescent="0.25">
      <c r="A1759">
        <v>44</v>
      </c>
      <c r="B1759">
        <v>3.0000000000000002E-2</v>
      </c>
      <c r="C1759">
        <v>0.17</v>
      </c>
      <c r="D1759">
        <v>2.721596691964181</v>
      </c>
      <c r="E1759">
        <v>1.1183345664019959</v>
      </c>
      <c r="F1759">
        <v>0.3465630319983164</v>
      </c>
      <c r="G1759" s="166">
        <v>67.714760558347152</v>
      </c>
    </row>
    <row r="1760" spans="1:7" x14ac:dyDescent="0.25">
      <c r="A1760">
        <v>43</v>
      </c>
      <c r="B1760">
        <v>3.0000000000000002E-2</v>
      </c>
      <c r="C1760">
        <v>0.17</v>
      </c>
      <c r="D1760">
        <v>2.7088197160519893</v>
      </c>
      <c r="E1760">
        <v>1.113084363879749</v>
      </c>
      <c r="F1760">
        <v>0.34493603578503729</v>
      </c>
      <c r="G1760" s="166">
        <v>67.398664432824702</v>
      </c>
    </row>
    <row r="1761" spans="1:7" x14ac:dyDescent="0.25">
      <c r="A1761">
        <v>42</v>
      </c>
      <c r="B1761">
        <v>3.0000000000000002E-2</v>
      </c>
      <c r="C1761">
        <v>0.17</v>
      </c>
      <c r="D1761">
        <v>2.695596188173627</v>
      </c>
      <c r="E1761">
        <v>1.1076506681525984</v>
      </c>
      <c r="F1761">
        <v>0.34325217647966316</v>
      </c>
      <c r="G1761" s="166">
        <v>67.074740312096111</v>
      </c>
    </row>
    <row r="1762" spans="1:7" x14ac:dyDescent="0.25">
      <c r="A1762">
        <v>41</v>
      </c>
      <c r="B1762">
        <v>3.0000000000000002E-2</v>
      </c>
      <c r="C1762">
        <v>0.17</v>
      </c>
      <c r="D1762">
        <v>2.6823726602952656</v>
      </c>
      <c r="E1762">
        <v>1.102216972425448</v>
      </c>
      <c r="F1762">
        <v>0.34156831717428904</v>
      </c>
      <c r="G1762" s="166">
        <v>66.747622437043688</v>
      </c>
    </row>
    <row r="1763" spans="1:7" x14ac:dyDescent="0.25">
      <c r="A1763">
        <v>40</v>
      </c>
      <c r="B1763">
        <v>3.0000000000000002E-2</v>
      </c>
      <c r="C1763">
        <v>0.17</v>
      </c>
      <c r="D1763">
        <v>2.6681509021013667</v>
      </c>
      <c r="E1763">
        <v>1.0963730926800734</v>
      </c>
      <c r="F1763">
        <v>0.33975734508772787</v>
      </c>
      <c r="G1763" s="166">
        <v>66.408458769730586</v>
      </c>
    </row>
    <row r="1764" spans="1:7" x14ac:dyDescent="0.25">
      <c r="A1764">
        <v>39</v>
      </c>
      <c r="B1764">
        <v>3.0000000000000002E-2</v>
      </c>
      <c r="C1764">
        <v>0.17</v>
      </c>
      <c r="D1764">
        <v>2.6529642667152689</v>
      </c>
      <c r="E1764">
        <v>1.0901327340884557</v>
      </c>
      <c r="F1764">
        <v>0.33782350734431821</v>
      </c>
      <c r="G1764" s="166">
        <v>66.056973127859024</v>
      </c>
    </row>
    <row r="1765" spans="1:7" x14ac:dyDescent="0.25">
      <c r="A1765">
        <v>38</v>
      </c>
      <c r="B1765">
        <v>3.0000000000000002E-2</v>
      </c>
      <c r="C1765">
        <v>0.17</v>
      </c>
      <c r="D1765">
        <v>2.6377776313291701</v>
      </c>
      <c r="E1765">
        <v>1.0838923754968377</v>
      </c>
      <c r="F1765">
        <v>0.33588966960090855</v>
      </c>
      <c r="G1765" s="166">
        <v>65.701440227247303</v>
      </c>
    </row>
    <row r="1766" spans="1:7" x14ac:dyDescent="0.25">
      <c r="A1766">
        <v>37</v>
      </c>
      <c r="B1766">
        <v>3.0000000000000002E-2</v>
      </c>
      <c r="C1766">
        <v>0.17</v>
      </c>
      <c r="D1766">
        <v>2.6211796670093661</v>
      </c>
      <c r="E1766">
        <v>1.0770720860375103</v>
      </c>
      <c r="F1766">
        <v>0.33377611587097666</v>
      </c>
      <c r="G1766" s="166">
        <v>65.331707923820844</v>
      </c>
    </row>
    <row r="1767" spans="1:7" x14ac:dyDescent="0.25">
      <c r="A1767">
        <v>36</v>
      </c>
      <c r="B1767">
        <v>3.0000000000000002E-2</v>
      </c>
      <c r="C1767">
        <v>0.17</v>
      </c>
      <c r="D1767">
        <v>2.603881979517237</v>
      </c>
      <c r="E1767">
        <v>1.0699642724888003</v>
      </c>
      <c r="F1767">
        <v>0.33157346070111565</v>
      </c>
      <c r="G1767" s="166">
        <v>64.952128294382675</v>
      </c>
    </row>
    <row r="1768" spans="1:7" x14ac:dyDescent="0.25">
      <c r="A1768">
        <v>35</v>
      </c>
      <c r="B1768">
        <v>3.0000000000000002E-2</v>
      </c>
      <c r="C1768">
        <v>0.17</v>
      </c>
      <c r="D1768">
        <v>2.5862151311297383</v>
      </c>
      <c r="E1768">
        <v>1.0627047665930665</v>
      </c>
      <c r="F1768">
        <v>0.32932379727335498</v>
      </c>
      <c r="G1768" s="166">
        <v>64.565473563541275</v>
      </c>
    </row>
    <row r="1769" spans="1:7" x14ac:dyDescent="0.25">
      <c r="A1769">
        <v>34</v>
      </c>
      <c r="B1769">
        <v>3.0000000000000002E-2</v>
      </c>
      <c r="C1769">
        <v>0.17</v>
      </c>
      <c r="D1769">
        <v>2.5666560491827357</v>
      </c>
      <c r="E1769">
        <v>1.0546677207320811</v>
      </c>
      <c r="F1769">
        <v>0.3268331803635568</v>
      </c>
      <c r="G1769" s="166">
        <v>64.162888816878862</v>
      </c>
    </row>
    <row r="1770" spans="1:7" x14ac:dyDescent="0.25">
      <c r="A1770">
        <v>33</v>
      </c>
      <c r="B1770">
        <v>3.0000000000000002E-2</v>
      </c>
      <c r="C1770">
        <v>0.17</v>
      </c>
      <c r="D1770">
        <v>2.5470969672357335</v>
      </c>
      <c r="E1770">
        <v>1.0466306748710958</v>
      </c>
      <c r="F1770">
        <v>0.32434256345375867</v>
      </c>
      <c r="G1770" s="166">
        <v>63.754121197595659</v>
      </c>
    </row>
    <row r="1771" spans="1:7" x14ac:dyDescent="0.25">
      <c r="A1771">
        <v>32</v>
      </c>
      <c r="B1771">
        <v>3.0000000000000002E-2</v>
      </c>
      <c r="C1771">
        <v>0.17</v>
      </c>
      <c r="D1771">
        <v>2.5252755082252372</v>
      </c>
      <c r="E1771">
        <v>1.0376639929329465</v>
      </c>
      <c r="F1771">
        <v>0.32156385968047968</v>
      </c>
      <c r="G1771" s="166">
        <v>63.329989715635726</v>
      </c>
    </row>
    <row r="1772" spans="1:7" x14ac:dyDescent="0.25">
      <c r="A1772">
        <v>31</v>
      </c>
      <c r="B1772">
        <v>3.0000000000000002E-2</v>
      </c>
      <c r="C1772">
        <v>0.17</v>
      </c>
      <c r="D1772">
        <v>2.5033022611744111</v>
      </c>
      <c r="E1772">
        <v>1.0286349395887884</v>
      </c>
      <c r="F1772">
        <v>0.31876582750206517</v>
      </c>
      <c r="G1772" s="166">
        <v>62.897825935790422</v>
      </c>
    </row>
    <row r="1773" spans="1:7" x14ac:dyDescent="0.25">
      <c r="A1773">
        <v>30</v>
      </c>
      <c r="B1773">
        <v>3.0000000000000002E-2</v>
      </c>
      <c r="C1773">
        <v>0.17</v>
      </c>
      <c r="D1773">
        <v>2.4788975253233998</v>
      </c>
      <c r="E1773">
        <v>1.0186067602605724</v>
      </c>
      <c r="F1773">
        <v>0.31565817408794355</v>
      </c>
      <c r="G1773" s="166">
        <v>62.451961014447612</v>
      </c>
    </row>
    <row r="1774" spans="1:7" x14ac:dyDescent="0.25">
      <c r="A1774">
        <v>29</v>
      </c>
      <c r="B1774">
        <v>3.0000000000000002E-2</v>
      </c>
      <c r="C1774">
        <v>0.17</v>
      </c>
      <c r="D1774">
        <v>2.4539302281664841</v>
      </c>
      <c r="E1774">
        <v>1.0083474181902901</v>
      </c>
      <c r="F1774">
        <v>0.31247888516940109</v>
      </c>
      <c r="G1774" s="166">
        <v>61.996487649823557</v>
      </c>
    </row>
    <row r="1775" spans="1:7" x14ac:dyDescent="0.25">
      <c r="A1775">
        <v>28</v>
      </c>
      <c r="B1775">
        <v>3.0000000000000002E-2</v>
      </c>
      <c r="C1775">
        <v>0.17</v>
      </c>
      <c r="D1775">
        <v>2.4235172235732043</v>
      </c>
      <c r="E1775">
        <v>0.99585037393489706</v>
      </c>
      <c r="F1775">
        <v>0.30860615005212727</v>
      </c>
      <c r="G1775" s="166">
        <v>61.408703786970285</v>
      </c>
    </row>
    <row r="1776" spans="1:7" x14ac:dyDescent="0.25">
      <c r="A1776">
        <v>27</v>
      </c>
      <c r="B1776">
        <v>3.0000000000000002E-2</v>
      </c>
      <c r="C1776">
        <v>0.17</v>
      </c>
      <c r="D1776">
        <v>2.387968329703245</v>
      </c>
      <c r="E1776">
        <v>0.98124293524660267</v>
      </c>
      <c r="F1776">
        <v>0.30407942040106051</v>
      </c>
      <c r="G1776" s="166">
        <v>60.809020087812449</v>
      </c>
    </row>
    <row r="1777" spans="1:7" x14ac:dyDescent="0.25">
      <c r="A1777">
        <v>26</v>
      </c>
      <c r="B1777">
        <v>3.0000000000000002E-2</v>
      </c>
      <c r="C1777">
        <v>0.17</v>
      </c>
      <c r="D1777">
        <v>2.3466894444725725</v>
      </c>
      <c r="E1777">
        <v>0.96428097892430675</v>
      </c>
      <c r="F1777">
        <v>0.29882304436809004</v>
      </c>
      <c r="G1777" s="166">
        <v>60.240364232540969</v>
      </c>
    </row>
    <row r="1778" spans="1:7" x14ac:dyDescent="0.25">
      <c r="A1778">
        <v>25</v>
      </c>
      <c r="B1778">
        <v>3.0000000000000002E-2</v>
      </c>
      <c r="C1778">
        <v>0.17</v>
      </c>
      <c r="D1778">
        <v>2.2990063565371401</v>
      </c>
      <c r="E1778">
        <v>0.94468746397463399</v>
      </c>
      <c r="F1778">
        <v>0.29275116914177957</v>
      </c>
      <c r="G1778" s="166">
        <v>59.720146313149151</v>
      </c>
    </row>
    <row r="1779" spans="1:7" x14ac:dyDescent="0.25">
      <c r="A1779">
        <v>24</v>
      </c>
      <c r="B1779">
        <v>3.0000000000000002E-2</v>
      </c>
      <c r="C1779">
        <v>0.17</v>
      </c>
      <c r="D1779">
        <v>2.2441901365400367</v>
      </c>
      <c r="E1779">
        <v>0.92216286515980561</v>
      </c>
      <c r="F1779">
        <v>0.28577097422128511</v>
      </c>
      <c r="G1779" s="166">
        <v>59.27034243210116</v>
      </c>
    </row>
    <row r="1780" spans="1:7" x14ac:dyDescent="0.25">
      <c r="A1780">
        <v>23</v>
      </c>
      <c r="B1780">
        <v>3.0000000000000002E-2</v>
      </c>
      <c r="C1780">
        <v>0.17</v>
      </c>
      <c r="D1780">
        <v>2.1809541123039886</v>
      </c>
      <c r="E1780">
        <v>0.89617847446965926</v>
      </c>
      <c r="F1780">
        <v>0.2777186171782775</v>
      </c>
      <c r="G1780" s="166">
        <v>58.925998402261975</v>
      </c>
    </row>
    <row r="1781" spans="1:7" x14ac:dyDescent="0.25">
      <c r="A1781">
        <v>22</v>
      </c>
      <c r="B1781">
        <v>3.0000000000000002E-2</v>
      </c>
      <c r="C1781">
        <v>0.17</v>
      </c>
      <c r="D1781">
        <v>2.1085542053543542</v>
      </c>
      <c r="E1781">
        <v>0.86642854172424955</v>
      </c>
      <c r="F1781">
        <v>0.26849934845159745</v>
      </c>
      <c r="G1781" s="166">
        <v>58.721719853412267</v>
      </c>
    </row>
    <row r="1782" spans="1:7" x14ac:dyDescent="0.25">
      <c r="A1782">
        <v>21</v>
      </c>
      <c r="B1782">
        <v>3.0000000000000002E-2</v>
      </c>
      <c r="C1782">
        <v>0.17</v>
      </c>
      <c r="D1782">
        <v>2.025409860444527</v>
      </c>
      <c r="E1782">
        <v>0.83226359906832514</v>
      </c>
      <c r="F1782">
        <v>0.25791190309257633</v>
      </c>
      <c r="G1782" s="166">
        <v>58.718326207362146</v>
      </c>
    </row>
    <row r="1783" spans="1:7" x14ac:dyDescent="0.25">
      <c r="A1783">
        <v>20</v>
      </c>
      <c r="B1783">
        <v>3.0000000000000002E-2</v>
      </c>
      <c r="C1783">
        <v>0.17</v>
      </c>
      <c r="D1783">
        <v>1.9327983244840363</v>
      </c>
      <c r="E1783">
        <v>0.79420848156395651</v>
      </c>
      <c r="F1783">
        <v>0.24611892333357863</v>
      </c>
      <c r="G1783" s="166">
        <v>58.753413856797032</v>
      </c>
    </row>
    <row r="1784" spans="1:7" x14ac:dyDescent="0.25">
      <c r="A1784">
        <v>19</v>
      </c>
      <c r="B1784">
        <v>3.0000000000000002E-2</v>
      </c>
      <c r="C1784">
        <v>0.17</v>
      </c>
      <c r="D1784">
        <v>1.8394463411052413</v>
      </c>
      <c r="E1784">
        <v>0.75584910592136401</v>
      </c>
      <c r="F1784">
        <v>0.23423165638534357</v>
      </c>
      <c r="G1784" s="166">
        <v>58.65301960521456</v>
      </c>
    </row>
    <row r="1785" spans="1:7" x14ac:dyDescent="0.25">
      <c r="A1785">
        <v>18</v>
      </c>
      <c r="B1785">
        <v>3.0000000000000002E-2</v>
      </c>
      <c r="C1785">
        <v>0.17</v>
      </c>
      <c r="D1785">
        <v>1.7460943577264463</v>
      </c>
      <c r="E1785">
        <v>0.7174897302787715</v>
      </c>
      <c r="F1785">
        <v>0.22234438943710852</v>
      </c>
      <c r="G1785" s="166">
        <v>58.541890535707033</v>
      </c>
    </row>
    <row r="1786" spans="1:7" x14ac:dyDescent="0.25">
      <c r="A1786">
        <v>17</v>
      </c>
      <c r="B1786">
        <v>3.0000000000000002E-2</v>
      </c>
      <c r="C1786">
        <v>0.17</v>
      </c>
      <c r="D1786">
        <v>1.6527423743476521</v>
      </c>
      <c r="E1786">
        <v>0.67913035463617943</v>
      </c>
      <c r="F1786">
        <v>0.2104571224888736</v>
      </c>
      <c r="G1786" s="166">
        <v>58.418207641464825</v>
      </c>
    </row>
    <row r="1787" spans="1:7" x14ac:dyDescent="0.25">
      <c r="A1787">
        <v>16</v>
      </c>
      <c r="B1787">
        <v>3.0000000000000002E-2</v>
      </c>
      <c r="C1787">
        <v>0.17</v>
      </c>
      <c r="D1787">
        <v>1.5593903909688569</v>
      </c>
      <c r="E1787">
        <v>0.64077097899358681</v>
      </c>
      <c r="F1787">
        <v>0.1985698555406385</v>
      </c>
      <c r="G1787" s="166">
        <v>58.279716340611422</v>
      </c>
    </row>
    <row r="1788" spans="1:7" x14ac:dyDescent="0.25">
      <c r="A1788">
        <v>15</v>
      </c>
      <c r="B1788">
        <v>3.0000000000000002E-2</v>
      </c>
      <c r="C1788">
        <v>0.17</v>
      </c>
      <c r="D1788">
        <v>1.4660384075900623</v>
      </c>
      <c r="E1788">
        <v>0.60241160335099453</v>
      </c>
      <c r="F1788">
        <v>0.18668258859240353</v>
      </c>
      <c r="G1788" s="166">
        <v>58.123587797038532</v>
      </c>
    </row>
    <row r="1789" spans="1:7" x14ac:dyDescent="0.25">
      <c r="A1789">
        <v>14</v>
      </c>
      <c r="B1789">
        <v>3.0000000000000002E-2</v>
      </c>
      <c r="C1789">
        <v>0.17</v>
      </c>
      <c r="D1789">
        <v>1.3726864242112675</v>
      </c>
      <c r="E1789">
        <v>0.56405222770840213</v>
      </c>
      <c r="F1789">
        <v>0.1747953216441685</v>
      </c>
      <c r="G1789" s="166">
        <v>57.946223654500706</v>
      </c>
    </row>
    <row r="1790" spans="1:7" x14ac:dyDescent="0.25">
      <c r="A1790">
        <v>13</v>
      </c>
      <c r="B1790">
        <v>3.0000000000000002E-2</v>
      </c>
      <c r="C1790">
        <v>0.17</v>
      </c>
      <c r="D1790">
        <v>1.2793344408324732</v>
      </c>
      <c r="E1790">
        <v>0.52569285206580996</v>
      </c>
      <c r="F1790">
        <v>0.16290805469593356</v>
      </c>
      <c r="G1790" s="166">
        <v>57.742975280353491</v>
      </c>
    </row>
    <row r="1791" spans="1:7" x14ac:dyDescent="0.25">
      <c r="A1791">
        <v>12</v>
      </c>
      <c r="B1791">
        <v>3.0000000000000002E-2</v>
      </c>
      <c r="C1791">
        <v>0.17</v>
      </c>
      <c r="D1791">
        <v>1.1859430136306883</v>
      </c>
      <c r="E1791">
        <v>0.48731726851452517</v>
      </c>
      <c r="F1791">
        <v>0.15101576504505881</v>
      </c>
      <c r="G1791" s="166">
        <v>57.509458579897803</v>
      </c>
    </row>
    <row r="1792" spans="1:7" x14ac:dyDescent="0.25">
      <c r="A1792">
        <v>11</v>
      </c>
      <c r="B1792">
        <v>3.0000000000000002E-2</v>
      </c>
      <c r="C1792">
        <v>0.17</v>
      </c>
      <c r="D1792">
        <v>1.0924293367786582</v>
      </c>
      <c r="E1792">
        <v>0.44889145121258822</v>
      </c>
      <c r="F1792">
        <v>0.1391079083523902</v>
      </c>
      <c r="G1792" s="166">
        <v>57.241804068407781</v>
      </c>
    </row>
    <row r="1793" spans="1:7" x14ac:dyDescent="0.25">
      <c r="A1793">
        <v>10</v>
      </c>
      <c r="B1793">
        <v>3.0000000000000002E-2</v>
      </c>
      <c r="C1793">
        <v>0.17</v>
      </c>
      <c r="D1793">
        <v>0.99891565992662801</v>
      </c>
      <c r="E1793">
        <v>0.41046563391065133</v>
      </c>
      <c r="F1793">
        <v>0.12720005165972165</v>
      </c>
      <c r="G1793" s="166">
        <v>56.924036502333522</v>
      </c>
    </row>
    <row r="1794" spans="1:7" x14ac:dyDescent="0.25">
      <c r="A1794">
        <v>9</v>
      </c>
      <c r="B1794">
        <v>3.0000000000000002E-2</v>
      </c>
      <c r="C1794">
        <v>0.17</v>
      </c>
      <c r="D1794">
        <v>0.90540198307459752</v>
      </c>
      <c r="E1794">
        <v>0.37203981660871427</v>
      </c>
      <c r="F1794">
        <v>0.11529219496705301</v>
      </c>
      <c r="G1794" s="166">
        <v>56.540628228499799</v>
      </c>
    </row>
    <row r="1795" spans="1:7" x14ac:dyDescent="0.25">
      <c r="A1795">
        <v>8</v>
      </c>
      <c r="B1795">
        <v>3.0000000000000002E-2</v>
      </c>
      <c r="C1795">
        <v>0.17</v>
      </c>
      <c r="D1795">
        <v>0.81186033871261598</v>
      </c>
      <c r="E1795">
        <v>0.33360250714366324</v>
      </c>
      <c r="F1795">
        <v>0.10338077694398054</v>
      </c>
      <c r="G1795" s="166">
        <v>56.070650605112263</v>
      </c>
    </row>
    <row r="1796" spans="1:7" x14ac:dyDescent="0.25">
      <c r="A1796">
        <v>7</v>
      </c>
      <c r="B1796">
        <v>3.0000000000000002E-2</v>
      </c>
      <c r="C1796">
        <v>0.17</v>
      </c>
      <c r="D1796">
        <v>0.71810247125257143</v>
      </c>
      <c r="E1796">
        <v>0.29507634918561826</v>
      </c>
      <c r="F1796">
        <v>9.1441825476046817E-2</v>
      </c>
      <c r="G1796" s="166">
        <v>55.493413135643024</v>
      </c>
    </row>
    <row r="1797" spans="1:7" x14ac:dyDescent="0.25">
      <c r="A1797">
        <v>6</v>
      </c>
      <c r="B1797">
        <v>3.0000000000000002E-2</v>
      </c>
      <c r="C1797">
        <v>0.17</v>
      </c>
      <c r="D1797">
        <v>0.6243311891545259</v>
      </c>
      <c r="E1797">
        <v>0.25654467900255606</v>
      </c>
      <c r="F1797">
        <v>7.9501165813202171E-2</v>
      </c>
      <c r="G1797" s="166">
        <v>54.743880258701175</v>
      </c>
    </row>
    <row r="1798" spans="1:7" x14ac:dyDescent="0.25">
      <c r="A1798">
        <v>5</v>
      </c>
      <c r="B1798">
        <v>3.0000000000000002E-2</v>
      </c>
      <c r="C1798">
        <v>0.17</v>
      </c>
      <c r="D1798">
        <v>0.5302450405841499</v>
      </c>
      <c r="E1798">
        <v>0.21788362665907018</v>
      </c>
      <c r="F1798">
        <v>6.7520411642729844E-2</v>
      </c>
      <c r="G1798" s="166">
        <v>53.758431455878444</v>
      </c>
    </row>
    <row r="1799" spans="1:7" x14ac:dyDescent="0.25">
      <c r="A1799">
        <v>4</v>
      </c>
      <c r="B1799">
        <v>3.0000000000000002E-2</v>
      </c>
      <c r="C1799">
        <v>0.17</v>
      </c>
      <c r="D1799">
        <v>0.4358301481562632</v>
      </c>
      <c r="E1799">
        <v>0.17908748978214406</v>
      </c>
      <c r="F1799">
        <v>5.5497795844358669E-2</v>
      </c>
      <c r="G1799" s="166">
        <v>52.38390194834821</v>
      </c>
    </row>
    <row r="1800" spans="1:7" x14ac:dyDescent="0.25">
      <c r="A1800">
        <v>3</v>
      </c>
      <c r="B1800">
        <v>3.0000000000000002E-2</v>
      </c>
      <c r="C1800">
        <v>0.17</v>
      </c>
      <c r="D1800">
        <v>0.34066879194718636</v>
      </c>
      <c r="E1800">
        <v>0.13998462257609276</v>
      </c>
      <c r="F1800">
        <v>4.3380126744353924E-2</v>
      </c>
      <c r="G1800" s="166">
        <v>50.349533846468461</v>
      </c>
    </row>
    <row r="1801" spans="1:7" x14ac:dyDescent="0.25">
      <c r="A1801">
        <v>2</v>
      </c>
      <c r="B1801">
        <v>3.0000000000000002E-2</v>
      </c>
      <c r="C1801">
        <v>0.17</v>
      </c>
      <c r="D1801">
        <v>0.24380882749894045</v>
      </c>
      <c r="E1801">
        <v>0.10018377821778859</v>
      </c>
      <c r="F1801">
        <v>3.1046160048426214E-2</v>
      </c>
      <c r="G1801" s="166">
        <v>47.0370102680521</v>
      </c>
    </row>
    <row r="1802" spans="1:7" x14ac:dyDescent="0.25">
      <c r="A1802">
        <v>1</v>
      </c>
      <c r="B1802">
        <v>3.0000000000000002E-2</v>
      </c>
      <c r="C1802">
        <v>0.17</v>
      </c>
      <c r="D1802">
        <v>0.14040643849233717</v>
      </c>
      <c r="E1802">
        <v>5.7694578324187264E-2</v>
      </c>
      <c r="F1802">
        <v>1.7879093246865947E-2</v>
      </c>
      <c r="G1802" s="166">
        <v>41.06615845066915</v>
      </c>
    </row>
    <row r="1803" spans="1:7" x14ac:dyDescent="0.25">
      <c r="A1803">
        <v>50</v>
      </c>
      <c r="B1803">
        <v>2.5000000000000001E-2</v>
      </c>
      <c r="C1803">
        <v>0.17</v>
      </c>
      <c r="D1803">
        <v>2.7786826134187246</v>
      </c>
      <c r="E1803">
        <v>1.1417918109695044</v>
      </c>
      <c r="F1803">
        <v>0.35383224645691658</v>
      </c>
      <c r="G1803" s="166">
        <v>69.259646724239957</v>
      </c>
    </row>
    <row r="1804" spans="1:7" x14ac:dyDescent="0.25">
      <c r="A1804">
        <v>49</v>
      </c>
      <c r="B1804">
        <v>2.5000000000000001E-2</v>
      </c>
      <c r="C1804">
        <v>0.17</v>
      </c>
      <c r="D1804">
        <v>2.7690928281294678</v>
      </c>
      <c r="E1804">
        <v>1.1378512607751956</v>
      </c>
      <c r="F1804">
        <v>0.35261110113591049</v>
      </c>
      <c r="G1804" s="166">
        <v>68.994538898241245</v>
      </c>
    </row>
    <row r="1805" spans="1:7" x14ac:dyDescent="0.25">
      <c r="A1805">
        <v>48</v>
      </c>
      <c r="B1805">
        <v>2.5000000000000001E-2</v>
      </c>
      <c r="C1805">
        <v>0.17</v>
      </c>
      <c r="D1805">
        <v>2.7584565141015811</v>
      </c>
      <c r="E1805">
        <v>1.1334806801996045</v>
      </c>
      <c r="F1805">
        <v>0.35125669280286304</v>
      </c>
      <c r="G1805" s="166">
        <v>68.714591691563797</v>
      </c>
    </row>
    <row r="1806" spans="1:7" x14ac:dyDescent="0.25">
      <c r="A1806">
        <v>47</v>
      </c>
      <c r="B1806">
        <v>2.5000000000000001E-2</v>
      </c>
      <c r="C1806">
        <v>0.17</v>
      </c>
      <c r="D1806">
        <v>2.7472314408136524</v>
      </c>
      <c r="E1806">
        <v>1.128868171849138</v>
      </c>
      <c r="F1806">
        <v>0.34982731296691816</v>
      </c>
      <c r="G1806" s="166">
        <v>68.425072345312813</v>
      </c>
    </row>
    <row r="1807" spans="1:7" x14ac:dyDescent="0.25">
      <c r="A1807">
        <v>46</v>
      </c>
      <c r="B1807">
        <v>2.5000000000000001E-2</v>
      </c>
      <c r="C1807">
        <v>0.17</v>
      </c>
      <c r="D1807">
        <v>2.7360063675257242</v>
      </c>
      <c r="E1807">
        <v>1.124255663498672</v>
      </c>
      <c r="F1807">
        <v>0.34839793313097339</v>
      </c>
      <c r="G1807" s="166">
        <v>68.13317736432748</v>
      </c>
    </row>
    <row r="1808" spans="1:7" x14ac:dyDescent="0.25">
      <c r="A1808">
        <v>45</v>
      </c>
      <c r="B1808">
        <v>2.5000000000000001E-2</v>
      </c>
      <c r="C1808">
        <v>0.17</v>
      </c>
      <c r="D1808">
        <v>2.7247812942377956</v>
      </c>
      <c r="E1808">
        <v>1.1196431551482056</v>
      </c>
      <c r="F1808">
        <v>0.34696855329502846</v>
      </c>
      <c r="G1808" s="166">
        <v>67.838877388445283</v>
      </c>
    </row>
    <row r="1809" spans="1:7" x14ac:dyDescent="0.25">
      <c r="A1809">
        <v>44</v>
      </c>
      <c r="B1809">
        <v>2.5000000000000001E-2</v>
      </c>
      <c r="C1809">
        <v>0.17</v>
      </c>
      <c r="D1809">
        <v>2.7119769680652324</v>
      </c>
      <c r="E1809">
        <v>1.1143817140976109</v>
      </c>
      <c r="F1809">
        <v>0.34533807435075242</v>
      </c>
      <c r="G1809" s="166">
        <v>67.525426778462105</v>
      </c>
    </row>
    <row r="1810" spans="1:7" x14ac:dyDescent="0.25">
      <c r="A1810">
        <v>43</v>
      </c>
      <c r="B1810">
        <v>2.5000000000000001E-2</v>
      </c>
      <c r="C1810">
        <v>0.17</v>
      </c>
      <c r="D1810">
        <v>2.6989800738115171</v>
      </c>
      <c r="E1810">
        <v>1.10904114466544</v>
      </c>
      <c r="F1810">
        <v>0.34368307414722177</v>
      </c>
      <c r="G1810" s="166">
        <v>67.206930432153399</v>
      </c>
    </row>
    <row r="1811" spans="1:7" x14ac:dyDescent="0.25">
      <c r="A1811">
        <v>42</v>
      </c>
      <c r="B1811">
        <v>2.5000000000000001E-2</v>
      </c>
      <c r="C1811">
        <v>0.17</v>
      </c>
      <c r="D1811">
        <v>2.6859831795578013</v>
      </c>
      <c r="E1811">
        <v>1.1037005752332689</v>
      </c>
      <c r="F1811">
        <v>0.34202807394369106</v>
      </c>
      <c r="G1811" s="166">
        <v>66.885351815363862</v>
      </c>
    </row>
    <row r="1812" spans="1:7" x14ac:dyDescent="0.25">
      <c r="A1812">
        <v>41</v>
      </c>
      <c r="B1812">
        <v>2.5000000000000001E-2</v>
      </c>
      <c r="C1812">
        <v>0.17</v>
      </c>
      <c r="D1812">
        <v>2.6717624378307963</v>
      </c>
      <c r="E1812">
        <v>1.0978571131655268</v>
      </c>
      <c r="F1812">
        <v>0.34021723129212283</v>
      </c>
      <c r="G1812" s="166">
        <v>66.549931683469723</v>
      </c>
    </row>
    <row r="1813" spans="1:7" x14ac:dyDescent="0.25">
      <c r="A1813">
        <v>40</v>
      </c>
      <c r="B1813">
        <v>2.5000000000000001E-2</v>
      </c>
      <c r="C1813">
        <v>0.17</v>
      </c>
      <c r="D1813">
        <v>2.6568554326642637</v>
      </c>
      <c r="E1813">
        <v>1.0917316577633764</v>
      </c>
      <c r="F1813">
        <v>0.33831900113782337</v>
      </c>
      <c r="G1813" s="166">
        <v>66.204789827482131</v>
      </c>
    </row>
    <row r="1814" spans="1:7" x14ac:dyDescent="0.25">
      <c r="A1814">
        <v>39</v>
      </c>
      <c r="B1814">
        <v>2.5000000000000001E-2</v>
      </c>
      <c r="C1814">
        <v>0.17</v>
      </c>
      <c r="D1814">
        <v>2.6419484274977316</v>
      </c>
      <c r="E1814">
        <v>1.0856062023612263</v>
      </c>
      <c r="F1814">
        <v>0.33642077098352391</v>
      </c>
      <c r="G1814" s="166">
        <v>65.855753094988344</v>
      </c>
    </row>
    <row r="1815" spans="1:7" x14ac:dyDescent="0.25">
      <c r="A1815">
        <v>38</v>
      </c>
      <c r="B1815">
        <v>2.5000000000000001E-2</v>
      </c>
      <c r="C1815">
        <v>0.17</v>
      </c>
      <c r="D1815">
        <v>2.625410725172137</v>
      </c>
      <c r="E1815">
        <v>1.0788106752303377</v>
      </c>
      <c r="F1815">
        <v>0.33431489090321442</v>
      </c>
      <c r="G1815" s="166">
        <v>65.491225041649429</v>
      </c>
    </row>
    <row r="1816" spans="1:7" x14ac:dyDescent="0.25">
      <c r="A1816">
        <v>37</v>
      </c>
      <c r="B1816">
        <v>2.5000000000000001E-2</v>
      </c>
      <c r="C1816">
        <v>0.17</v>
      </c>
      <c r="D1816">
        <v>2.60845354331971</v>
      </c>
      <c r="E1816">
        <v>1.0718427792631187</v>
      </c>
      <c r="F1816">
        <v>0.33215559508459597</v>
      </c>
      <c r="G1816" s="166">
        <v>65.119028978985739</v>
      </c>
    </row>
    <row r="1817" spans="1:7" x14ac:dyDescent="0.25">
      <c r="A1817">
        <v>36</v>
      </c>
      <c r="B1817">
        <v>2.5000000000000001E-2</v>
      </c>
      <c r="C1817">
        <v>0.17</v>
      </c>
      <c r="D1817">
        <v>2.5908732807814676</v>
      </c>
      <c r="E1817">
        <v>1.0646188524627267</v>
      </c>
      <c r="F1817">
        <v>0.3299169573369205</v>
      </c>
      <c r="G1817" s="166">
        <v>64.738637383990906</v>
      </c>
    </row>
    <row r="1818" spans="1:7" x14ac:dyDescent="0.25">
      <c r="A1818">
        <v>35</v>
      </c>
      <c r="B1818">
        <v>2.5000000000000001E-2</v>
      </c>
      <c r="C1818">
        <v>0.17</v>
      </c>
      <c r="D1818">
        <v>2.5717240616052663</v>
      </c>
      <c r="E1818">
        <v>1.0567502238052975</v>
      </c>
      <c r="F1818">
        <v>0.32747853158570644</v>
      </c>
      <c r="G1818" s="166">
        <v>64.344376895515481</v>
      </c>
    </row>
    <row r="1819" spans="1:7" x14ac:dyDescent="0.25">
      <c r="A1819">
        <v>34</v>
      </c>
      <c r="B1819">
        <v>2.5000000000000001E-2</v>
      </c>
      <c r="C1819">
        <v>0.17</v>
      </c>
      <c r="D1819">
        <v>2.5524536182170219</v>
      </c>
      <c r="E1819">
        <v>1.0488317827612597</v>
      </c>
      <c r="F1819">
        <v>0.32502466937008107</v>
      </c>
      <c r="G1819" s="166">
        <v>63.943750630562526</v>
      </c>
    </row>
    <row r="1820" spans="1:7" x14ac:dyDescent="0.25">
      <c r="A1820">
        <v>33</v>
      </c>
      <c r="B1820">
        <v>2.5000000000000001E-2</v>
      </c>
      <c r="C1820">
        <v>0.17</v>
      </c>
      <c r="D1820">
        <v>2.5309686869810517</v>
      </c>
      <c r="E1820">
        <v>1.0400033838552429</v>
      </c>
      <c r="F1820">
        <v>0.32228881841413376</v>
      </c>
      <c r="G1820" s="166">
        <v>63.528376063272468</v>
      </c>
    </row>
    <row r="1821" spans="1:7" x14ac:dyDescent="0.25">
      <c r="A1821">
        <v>32</v>
      </c>
      <c r="B1821">
        <v>2.5000000000000001E-2</v>
      </c>
      <c r="C1821">
        <v>0.17</v>
      </c>
      <c r="D1821">
        <v>2.5093483651838051</v>
      </c>
      <c r="E1821">
        <v>1.0311193514510348</v>
      </c>
      <c r="F1821">
        <v>0.31953572707736211</v>
      </c>
      <c r="G1821" s="166">
        <v>63.105591365871135</v>
      </c>
    </row>
    <row r="1822" spans="1:7" x14ac:dyDescent="0.25">
      <c r="A1822">
        <v>31</v>
      </c>
      <c r="B1822">
        <v>2.5000000000000001E-2</v>
      </c>
      <c r="C1822">
        <v>0.17</v>
      </c>
      <c r="D1822">
        <v>2.4853822136241224</v>
      </c>
      <c r="E1822">
        <v>1.0212713913208809</v>
      </c>
      <c r="F1822">
        <v>0.31648392216652477</v>
      </c>
      <c r="G1822" s="166">
        <v>62.669844354586225</v>
      </c>
    </row>
    <row r="1823" spans="1:7" x14ac:dyDescent="0.25">
      <c r="A1823">
        <v>30</v>
      </c>
      <c r="B1823">
        <v>2.5000000000000001E-2</v>
      </c>
      <c r="C1823">
        <v>0.17</v>
      </c>
      <c r="D1823">
        <v>2.4606796686848287</v>
      </c>
      <c r="E1823">
        <v>1.0111208389024131</v>
      </c>
      <c r="F1823">
        <v>0.31333834630015428</v>
      </c>
      <c r="G1823" s="166">
        <v>62.221807501204772</v>
      </c>
    </row>
    <row r="1824" spans="1:7" x14ac:dyDescent="0.25">
      <c r="A1824">
        <v>29</v>
      </c>
      <c r="B1824">
        <v>2.5000000000000001E-2</v>
      </c>
      <c r="C1824">
        <v>0.17</v>
      </c>
      <c r="D1824">
        <v>2.4297036951122797</v>
      </c>
      <c r="E1824">
        <v>0.9983924643874017</v>
      </c>
      <c r="F1824">
        <v>0.30939392376609592</v>
      </c>
      <c r="G1824" s="166">
        <v>61.630567304973546</v>
      </c>
    </row>
    <row r="1825" spans="1:7" x14ac:dyDescent="0.25">
      <c r="A1825">
        <v>28</v>
      </c>
      <c r="B1825">
        <v>2.5000000000000001E-2</v>
      </c>
      <c r="C1825">
        <v>0.17</v>
      </c>
      <c r="D1825">
        <v>2.3930715241159768</v>
      </c>
      <c r="E1825">
        <v>0.98333989499368002</v>
      </c>
      <c r="F1825">
        <v>0.30472925163203429</v>
      </c>
      <c r="G1825" s="166">
        <v>61.065430067737573</v>
      </c>
    </row>
    <row r="1826" spans="1:7" x14ac:dyDescent="0.25">
      <c r="A1826">
        <v>27</v>
      </c>
      <c r="B1826">
        <v>2.5000000000000001E-2</v>
      </c>
      <c r="C1826">
        <v>0.17</v>
      </c>
      <c r="D1826">
        <v>2.3502321973091509</v>
      </c>
      <c r="E1826">
        <v>0.9657367357486234</v>
      </c>
      <c r="F1826">
        <v>0.299274171887568</v>
      </c>
      <c r="G1826" s="166">
        <v>60.542853176844076</v>
      </c>
    </row>
    <row r="1827" spans="1:7" x14ac:dyDescent="0.25">
      <c r="A1827">
        <v>26</v>
      </c>
      <c r="B1827">
        <v>2.5000000000000001E-2</v>
      </c>
      <c r="C1827">
        <v>0.17</v>
      </c>
      <c r="D1827">
        <v>2.3006616717885828</v>
      </c>
      <c r="E1827">
        <v>0.94536765155328828</v>
      </c>
      <c r="F1827">
        <v>0.29296195388962515</v>
      </c>
      <c r="G1827" s="166">
        <v>60.081368237611578</v>
      </c>
    </row>
    <row r="1828" spans="1:7" x14ac:dyDescent="0.25">
      <c r="A1828">
        <v>25</v>
      </c>
      <c r="B1828">
        <v>2.5000000000000001E-2</v>
      </c>
      <c r="C1828">
        <v>0.17</v>
      </c>
      <c r="D1828">
        <v>2.2432802651654402</v>
      </c>
      <c r="E1828">
        <v>0.92178898882015714</v>
      </c>
      <c r="F1828">
        <v>0.28565511290236167</v>
      </c>
      <c r="G1828" s="166">
        <v>59.711037020855862</v>
      </c>
    </row>
    <row r="1829" spans="1:7" x14ac:dyDescent="0.25">
      <c r="A1829">
        <v>24</v>
      </c>
      <c r="B1829">
        <v>2.5000000000000001E-2</v>
      </c>
      <c r="C1829">
        <v>0.17</v>
      </c>
      <c r="D1829">
        <v>2.1775069031358059</v>
      </c>
      <c r="E1829">
        <v>0.89476197760890874</v>
      </c>
      <c r="F1829">
        <v>0.27727965601081833</v>
      </c>
      <c r="G1829" s="166">
        <v>59.460976949321726</v>
      </c>
    </row>
    <row r="1830" spans="1:7" x14ac:dyDescent="0.25">
      <c r="A1830">
        <v>23</v>
      </c>
      <c r="B1830">
        <v>2.5000000000000001E-2</v>
      </c>
      <c r="C1830">
        <v>0.17</v>
      </c>
      <c r="D1830">
        <v>2.1021645131705693</v>
      </c>
      <c r="E1830">
        <v>0.86380294563247961</v>
      </c>
      <c r="F1830">
        <v>0.26768569700085654</v>
      </c>
      <c r="G1830" s="166">
        <v>59.377321205131061</v>
      </c>
    </row>
    <row r="1831" spans="1:7" x14ac:dyDescent="0.25">
      <c r="A1831">
        <v>22</v>
      </c>
      <c r="B1831">
        <v>2.5000000000000001E-2</v>
      </c>
      <c r="C1831">
        <v>0.17</v>
      </c>
      <c r="D1831">
        <v>2.0164816774116163</v>
      </c>
      <c r="E1831">
        <v>0.82859490865201602</v>
      </c>
      <c r="F1831">
        <v>0.25677500496536398</v>
      </c>
      <c r="G1831" s="166">
        <v>59.469782116188078</v>
      </c>
    </row>
    <row r="1832" spans="1:7" x14ac:dyDescent="0.25">
      <c r="A1832">
        <v>21</v>
      </c>
      <c r="B1832">
        <v>2.5000000000000001E-2</v>
      </c>
      <c r="C1832">
        <v>0.17</v>
      </c>
      <c r="D1832">
        <v>1.9277869066911526</v>
      </c>
      <c r="E1832">
        <v>0.79214923385800073</v>
      </c>
      <c r="F1832">
        <v>0.24548077876570779</v>
      </c>
      <c r="G1832" s="166">
        <v>59.381562755027282</v>
      </c>
    </row>
    <row r="1833" spans="1:7" x14ac:dyDescent="0.25">
      <c r="A1833">
        <v>20</v>
      </c>
      <c r="B1833">
        <v>2.5000000000000001E-2</v>
      </c>
      <c r="C1833">
        <v>0.17</v>
      </c>
      <c r="D1833">
        <v>1.8390921359706889</v>
      </c>
      <c r="E1833">
        <v>0.75570355906398545</v>
      </c>
      <c r="F1833">
        <v>0.23418655256605161</v>
      </c>
      <c r="G1833" s="166">
        <v>59.284834199728543</v>
      </c>
    </row>
    <row r="1834" spans="1:7" x14ac:dyDescent="0.25">
      <c r="A1834">
        <v>19</v>
      </c>
      <c r="B1834">
        <v>2.5000000000000001E-2</v>
      </c>
      <c r="C1834">
        <v>0.17</v>
      </c>
      <c r="D1834">
        <v>1.750397365250226</v>
      </c>
      <c r="E1834">
        <v>0.71925788426997062</v>
      </c>
      <c r="F1834">
        <v>0.22289232636639558</v>
      </c>
      <c r="G1834" s="166">
        <v>59.178302936536518</v>
      </c>
    </row>
    <row r="1835" spans="1:7" x14ac:dyDescent="0.25">
      <c r="A1835">
        <v>18</v>
      </c>
      <c r="B1835">
        <v>2.5000000000000001E-2</v>
      </c>
      <c r="C1835">
        <v>0.17</v>
      </c>
      <c r="D1835">
        <v>1.6617025945297619</v>
      </c>
      <c r="E1835">
        <v>0.68281220947595511</v>
      </c>
      <c r="F1835">
        <v>0.21159810016673936</v>
      </c>
      <c r="G1835" s="166">
        <v>59.060399282166408</v>
      </c>
    </row>
    <row r="1836" spans="1:7" x14ac:dyDescent="0.25">
      <c r="A1836">
        <v>17</v>
      </c>
      <c r="B1836">
        <v>2.5000000000000001E-2</v>
      </c>
      <c r="C1836">
        <v>0.17</v>
      </c>
      <c r="D1836">
        <v>1.5730078238092986</v>
      </c>
      <c r="E1836">
        <v>0.64636653468194016</v>
      </c>
      <c r="F1836">
        <v>0.20030387396708324</v>
      </c>
      <c r="G1836" s="166">
        <v>58.929199524072942</v>
      </c>
    </row>
    <row r="1837" spans="1:7" x14ac:dyDescent="0.25">
      <c r="A1837">
        <v>16</v>
      </c>
      <c r="B1837">
        <v>2.5000000000000001E-2</v>
      </c>
      <c r="C1837">
        <v>0.17</v>
      </c>
      <c r="D1837">
        <v>1.4843130530888349</v>
      </c>
      <c r="E1837">
        <v>0.60992085988792488</v>
      </c>
      <c r="F1837">
        <v>0.18900964776742707</v>
      </c>
      <c r="G1837" s="166">
        <v>58.782320145782855</v>
      </c>
    </row>
    <row r="1838" spans="1:7" x14ac:dyDescent="0.25">
      <c r="A1838">
        <v>15</v>
      </c>
      <c r="B1838">
        <v>2.5000000000000001E-2</v>
      </c>
      <c r="C1838">
        <v>0.17</v>
      </c>
      <c r="D1838">
        <v>1.3956182823683712</v>
      </c>
      <c r="E1838">
        <v>0.5734751850939096</v>
      </c>
      <c r="F1838">
        <v>0.1777154215677709</v>
      </c>
      <c r="G1838" s="166">
        <v>58.616771718877423</v>
      </c>
    </row>
    <row r="1839" spans="1:7" x14ac:dyDescent="0.25">
      <c r="A1839">
        <v>14</v>
      </c>
      <c r="B1839">
        <v>2.5000000000000001E-2</v>
      </c>
      <c r="C1839">
        <v>0.17</v>
      </c>
      <c r="D1839">
        <v>1.3069235116479079</v>
      </c>
      <c r="E1839">
        <v>0.53702951029989454</v>
      </c>
      <c r="F1839">
        <v>0.16642119536811481</v>
      </c>
      <c r="G1839" s="166">
        <v>58.428753300979139</v>
      </c>
    </row>
    <row r="1840" spans="1:7" x14ac:dyDescent="0.25">
      <c r="A1840">
        <v>13</v>
      </c>
      <c r="B1840">
        <v>2.5000000000000001E-2</v>
      </c>
      <c r="C1840">
        <v>0.17</v>
      </c>
      <c r="D1840">
        <v>1.2182287409274437</v>
      </c>
      <c r="E1840">
        <v>0.50058383550587915</v>
      </c>
      <c r="F1840">
        <v>0.15512696916845858</v>
      </c>
      <c r="G1840" s="166">
        <v>58.213357018963173</v>
      </c>
    </row>
    <row r="1841" spans="1:7" x14ac:dyDescent="0.25">
      <c r="A1841">
        <v>12</v>
      </c>
      <c r="B1841">
        <v>2.5000000000000001E-2</v>
      </c>
      <c r="C1841">
        <v>0.17</v>
      </c>
      <c r="D1841">
        <v>1.12949053776192</v>
      </c>
      <c r="E1841">
        <v>0.46412031383368479</v>
      </c>
      <c r="F1841">
        <v>0.14382721236248902</v>
      </c>
      <c r="G1841" s="166">
        <v>57.966191768747208</v>
      </c>
    </row>
    <row r="1842" spans="1:7" x14ac:dyDescent="0.25">
      <c r="A1842">
        <v>11</v>
      </c>
      <c r="B1842">
        <v>2.5000000000000001E-2</v>
      </c>
      <c r="C1842">
        <v>0.17</v>
      </c>
      <c r="D1842">
        <v>1.0406353008567455</v>
      </c>
      <c r="E1842">
        <v>0.42760870168692705</v>
      </c>
      <c r="F1842">
        <v>0.13251255269902434</v>
      </c>
      <c r="G1842" s="166">
        <v>57.682865757429042</v>
      </c>
    </row>
    <row r="1843" spans="1:7" x14ac:dyDescent="0.25">
      <c r="A1843">
        <v>10</v>
      </c>
      <c r="B1843">
        <v>2.5000000000000001E-2</v>
      </c>
      <c r="C1843">
        <v>0.17</v>
      </c>
      <c r="D1843">
        <v>0.95178006395157044</v>
      </c>
      <c r="E1843">
        <v>0.3910970895401692</v>
      </c>
      <c r="F1843">
        <v>0.12119789303555963</v>
      </c>
      <c r="G1843" s="166">
        <v>57.346638869510116</v>
      </c>
    </row>
    <row r="1844" spans="1:7" x14ac:dyDescent="0.25">
      <c r="A1844">
        <v>9</v>
      </c>
      <c r="B1844">
        <v>2.5000000000000001E-2</v>
      </c>
      <c r="C1844">
        <v>0.17</v>
      </c>
      <c r="D1844">
        <v>0.86292482704639639</v>
      </c>
      <c r="E1844">
        <v>0.35458547739341167</v>
      </c>
      <c r="F1844">
        <v>0.10988323337209503</v>
      </c>
      <c r="G1844" s="166">
        <v>56.941169519574672</v>
      </c>
    </row>
    <row r="1845" spans="1:7" x14ac:dyDescent="0.25">
      <c r="A1845">
        <v>8</v>
      </c>
      <c r="B1845">
        <v>2.5000000000000001E-2</v>
      </c>
      <c r="C1845">
        <v>0.17</v>
      </c>
      <c r="D1845">
        <v>0.77403340066393589</v>
      </c>
      <c r="E1845">
        <v>0.31805899458506465</v>
      </c>
      <c r="F1845">
        <v>9.8563965408285326E-2</v>
      </c>
      <c r="G1845" s="166">
        <v>56.445057837332385</v>
      </c>
    </row>
    <row r="1846" spans="1:7" x14ac:dyDescent="0.25">
      <c r="A1846">
        <v>7</v>
      </c>
      <c r="B1846">
        <v>2.5000000000000001E-2</v>
      </c>
      <c r="C1846">
        <v>0.17</v>
      </c>
      <c r="D1846">
        <v>0.68493645701712891</v>
      </c>
      <c r="E1846">
        <v>0.2814480624307179</v>
      </c>
      <c r="F1846">
        <v>8.7218527260454495E-2</v>
      </c>
      <c r="G1846" s="166">
        <v>55.835718512026283</v>
      </c>
    </row>
    <row r="1847" spans="1:7" x14ac:dyDescent="0.25">
      <c r="A1847">
        <v>6</v>
      </c>
      <c r="B1847">
        <v>2.5000000000000001E-2</v>
      </c>
      <c r="C1847">
        <v>0.17</v>
      </c>
      <c r="D1847">
        <v>0.59581357499643894</v>
      </c>
      <c r="E1847">
        <v>0.24482647190799686</v>
      </c>
      <c r="F1847">
        <v>7.5869786168611258E-2</v>
      </c>
      <c r="G1847" s="166">
        <v>55.046375641689373</v>
      </c>
    </row>
    <row r="1848" spans="1:7" x14ac:dyDescent="0.25">
      <c r="A1848">
        <v>5</v>
      </c>
      <c r="B1848">
        <v>2.5000000000000001E-2</v>
      </c>
      <c r="C1848">
        <v>0.17</v>
      </c>
      <c r="D1848">
        <v>0.50639252721307548</v>
      </c>
      <c r="E1848">
        <v>0.20808236173352135</v>
      </c>
      <c r="F1848">
        <v>6.4483077206269293E-2</v>
      </c>
      <c r="G1848" s="166">
        <v>54.008856438024779</v>
      </c>
    </row>
    <row r="1849" spans="1:7" x14ac:dyDescent="0.25">
      <c r="A1849">
        <v>4</v>
      </c>
      <c r="B1849">
        <v>2.5000000000000001E-2</v>
      </c>
      <c r="C1849">
        <v>0.17</v>
      </c>
      <c r="D1849">
        <v>0.41662858104385952</v>
      </c>
      <c r="E1849">
        <v>0.17119735077135947</v>
      </c>
      <c r="F1849">
        <v>5.305270420486554E-2</v>
      </c>
      <c r="G1849" s="166">
        <v>52.566589923728074</v>
      </c>
    </row>
    <row r="1850" spans="1:7" x14ac:dyDescent="0.25">
      <c r="A1850">
        <v>3</v>
      </c>
      <c r="B1850">
        <v>2.5000000000000001E-2</v>
      </c>
      <c r="C1850">
        <v>0.17</v>
      </c>
      <c r="D1850">
        <v>0.32610775576719359</v>
      </c>
      <c r="E1850">
        <v>0.13400132970584616</v>
      </c>
      <c r="F1850">
        <v>4.1525951633664203E-2</v>
      </c>
      <c r="G1850" s="166">
        <v>50.440783652731518</v>
      </c>
    </row>
    <row r="1851" spans="1:7" x14ac:dyDescent="0.25">
      <c r="A1851">
        <v>2</v>
      </c>
      <c r="B1851">
        <v>2.5000000000000001E-2</v>
      </c>
      <c r="C1851">
        <v>0.17</v>
      </c>
      <c r="D1851">
        <v>0.23383294749979355</v>
      </c>
      <c r="E1851">
        <v>9.6084577382387557E-2</v>
      </c>
      <c r="F1851">
        <v>2.9775850149254275E-2</v>
      </c>
      <c r="G1851" s="166">
        <v>47.008768758308072</v>
      </c>
    </row>
    <row r="1852" spans="1:7" x14ac:dyDescent="0.25">
      <c r="A1852">
        <v>1</v>
      </c>
      <c r="B1852">
        <v>2.5000000000000001E-2</v>
      </c>
      <c r="C1852">
        <v>0.17</v>
      </c>
      <c r="D1852">
        <v>0.13435297024132078</v>
      </c>
      <c r="E1852">
        <v>5.5207140412568238E-2</v>
      </c>
      <c r="F1852">
        <v>1.710825592281566E-2</v>
      </c>
      <c r="G1852" s="166">
        <v>41.089332894207928</v>
      </c>
    </row>
    <row r="1853" spans="1:7" x14ac:dyDescent="0.25">
      <c r="A1853">
        <v>50</v>
      </c>
      <c r="B1853">
        <v>0.02</v>
      </c>
      <c r="C1853">
        <v>0.17</v>
      </c>
      <c r="D1853">
        <v>2.7716645589551514</v>
      </c>
      <c r="E1853">
        <v>1.1389080137784364</v>
      </c>
      <c r="F1853">
        <v>0.35293858052882127</v>
      </c>
      <c r="G1853" s="166">
        <v>69.099776060140087</v>
      </c>
    </row>
    <row r="1854" spans="1:7" x14ac:dyDescent="0.25">
      <c r="A1854">
        <v>49</v>
      </c>
      <c r="B1854">
        <v>0.02</v>
      </c>
      <c r="C1854">
        <v>0.17</v>
      </c>
      <c r="D1854">
        <v>2.7609340606273971</v>
      </c>
      <c r="E1854">
        <v>1.1344987318190343</v>
      </c>
      <c r="F1854">
        <v>0.35157217894320075</v>
      </c>
      <c r="G1854" s="166">
        <v>68.820808685246377</v>
      </c>
    </row>
    <row r="1855" spans="1:7" x14ac:dyDescent="0.25">
      <c r="A1855">
        <v>48</v>
      </c>
      <c r="B1855">
        <v>0.02</v>
      </c>
      <c r="C1855">
        <v>0.17</v>
      </c>
      <c r="D1855">
        <v>2.7498859231532595</v>
      </c>
      <c r="E1855">
        <v>1.1299589283763822</v>
      </c>
      <c r="F1855">
        <v>0.35016532978282494</v>
      </c>
      <c r="G1855" s="166">
        <v>68.535685665633878</v>
      </c>
    </row>
    <row r="1856" spans="1:7" x14ac:dyDescent="0.25">
      <c r="A1856">
        <v>47</v>
      </c>
      <c r="B1856">
        <v>0.02</v>
      </c>
      <c r="C1856">
        <v>0.17</v>
      </c>
      <c r="D1856">
        <v>2.7388377856791224</v>
      </c>
      <c r="E1856">
        <v>1.1254191249337304</v>
      </c>
      <c r="F1856">
        <v>0.34875848062244919</v>
      </c>
      <c r="G1856" s="166">
        <v>68.24826234307227</v>
      </c>
    </row>
    <row r="1857" spans="1:7" x14ac:dyDescent="0.25">
      <c r="A1857">
        <v>46</v>
      </c>
      <c r="B1857">
        <v>0.02</v>
      </c>
      <c r="C1857">
        <v>0.17</v>
      </c>
      <c r="D1857">
        <v>2.7277036367497911</v>
      </c>
      <c r="E1857">
        <v>1.1208439784206914</v>
      </c>
      <c r="F1857">
        <v>0.3473406789242538</v>
      </c>
      <c r="G1857" s="166">
        <v>67.957618746821964</v>
      </c>
    </row>
    <row r="1858" spans="1:7" x14ac:dyDescent="0.25">
      <c r="A1858">
        <v>45</v>
      </c>
      <c r="B1858">
        <v>0.02</v>
      </c>
      <c r="C1858">
        <v>0.17</v>
      </c>
      <c r="D1858">
        <v>2.7149279488433997</v>
      </c>
      <c r="E1858">
        <v>1.115594305154455</v>
      </c>
      <c r="F1858">
        <v>0.34571384672322408</v>
      </c>
      <c r="G1858" s="166">
        <v>67.64731053860973</v>
      </c>
    </row>
    <row r="1859" spans="1:7" x14ac:dyDescent="0.25">
      <c r="A1859">
        <v>44</v>
      </c>
      <c r="B1859">
        <v>0.02</v>
      </c>
      <c r="C1859">
        <v>0.17</v>
      </c>
      <c r="D1859">
        <v>2.7021522609370083</v>
      </c>
      <c r="E1859">
        <v>1.1103446318882186</v>
      </c>
      <c r="F1859">
        <v>0.34408701452219442</v>
      </c>
      <c r="G1859" s="166">
        <v>67.334068076188231</v>
      </c>
    </row>
    <row r="1860" spans="1:7" x14ac:dyDescent="0.25">
      <c r="A1860">
        <v>43</v>
      </c>
      <c r="B1860">
        <v>0.02</v>
      </c>
      <c r="C1860">
        <v>0.17</v>
      </c>
      <c r="D1860">
        <v>2.6893765730306165</v>
      </c>
      <c r="E1860">
        <v>1.1050949586219823</v>
      </c>
      <c r="F1860">
        <v>0.34246018232116465</v>
      </c>
      <c r="G1860" s="166">
        <v>67.017849542673474</v>
      </c>
    </row>
    <row r="1861" spans="1:7" x14ac:dyDescent="0.25">
      <c r="A1861">
        <v>42</v>
      </c>
      <c r="B1861">
        <v>0.02</v>
      </c>
      <c r="C1861">
        <v>0.17</v>
      </c>
      <c r="D1861">
        <v>2.6751217537763319</v>
      </c>
      <c r="E1861">
        <v>1.0992374937165652</v>
      </c>
      <c r="F1861">
        <v>0.34064500030101474</v>
      </c>
      <c r="G1861" s="166">
        <v>66.685755678829807</v>
      </c>
    </row>
    <row r="1862" spans="1:7" x14ac:dyDescent="0.25">
      <c r="A1862">
        <v>41</v>
      </c>
      <c r="B1862">
        <v>0.02</v>
      </c>
      <c r="C1862">
        <v>0.17</v>
      </c>
      <c r="D1862">
        <v>2.6604871520029505</v>
      </c>
      <c r="E1862">
        <v>1.0932239719199581</v>
      </c>
      <c r="F1862">
        <v>0.33878145748526767</v>
      </c>
      <c r="G1862" s="166">
        <v>66.34673463664258</v>
      </c>
    </row>
    <row r="1863" spans="1:7" x14ac:dyDescent="0.25">
      <c r="A1863">
        <v>40</v>
      </c>
      <c r="B1863">
        <v>0.02</v>
      </c>
      <c r="C1863">
        <v>0.17</v>
      </c>
      <c r="D1863">
        <v>2.6458525502295696</v>
      </c>
      <c r="E1863">
        <v>1.0872104501233513</v>
      </c>
      <c r="F1863">
        <v>0.33691791466952054</v>
      </c>
      <c r="G1863" s="166">
        <v>66.003963243405167</v>
      </c>
    </row>
    <row r="1864" spans="1:7" x14ac:dyDescent="0.25">
      <c r="A1864">
        <v>39</v>
      </c>
      <c r="B1864">
        <v>0.02</v>
      </c>
      <c r="C1864">
        <v>0.17</v>
      </c>
      <c r="D1864">
        <v>2.6293334698674156</v>
      </c>
      <c r="E1864">
        <v>1.0804225749658325</v>
      </c>
      <c r="F1864">
        <v>0.33481440587520311</v>
      </c>
      <c r="G1864" s="166">
        <v>65.644185073525378</v>
      </c>
    </row>
    <row r="1865" spans="1:7" x14ac:dyDescent="0.25">
      <c r="A1865">
        <v>38</v>
      </c>
      <c r="B1865">
        <v>0.02</v>
      </c>
      <c r="C1865">
        <v>0.17</v>
      </c>
      <c r="D1865">
        <v>2.6127073496971303</v>
      </c>
      <c r="E1865">
        <v>1.0735907159521574</v>
      </c>
      <c r="F1865">
        <v>0.33269726683193657</v>
      </c>
      <c r="G1865" s="166">
        <v>65.279087973304982</v>
      </c>
    </row>
    <row r="1866" spans="1:7" x14ac:dyDescent="0.25">
      <c r="A1866">
        <v>37</v>
      </c>
      <c r="B1866">
        <v>0.02</v>
      </c>
      <c r="C1866">
        <v>0.17</v>
      </c>
      <c r="D1866">
        <v>2.595166280993789</v>
      </c>
      <c r="E1866">
        <v>1.0663828943375517</v>
      </c>
      <c r="F1866">
        <v>0.33046361995388518</v>
      </c>
      <c r="G1866" s="166">
        <v>64.90449950550537</v>
      </c>
    </row>
    <row r="1867" spans="1:7" x14ac:dyDescent="0.25">
      <c r="A1867">
        <v>36</v>
      </c>
      <c r="B1867">
        <v>0.02</v>
      </c>
      <c r="C1867">
        <v>0.17</v>
      </c>
      <c r="D1867">
        <v>2.5764147843444314</v>
      </c>
      <c r="E1867">
        <v>1.0586776943214489</v>
      </c>
      <c r="F1867">
        <v>0.32807583944529795</v>
      </c>
      <c r="G1867" s="166">
        <v>64.518215835023526</v>
      </c>
    </row>
    <row r="1868" spans="1:7" x14ac:dyDescent="0.25">
      <c r="A1868">
        <v>35</v>
      </c>
      <c r="B1868">
        <v>0.02</v>
      </c>
      <c r="C1868">
        <v>0.17</v>
      </c>
      <c r="D1868">
        <v>2.5572267516902736</v>
      </c>
      <c r="E1868">
        <v>1.0507931167711622</v>
      </c>
      <c r="F1868">
        <v>0.32563247125840156</v>
      </c>
      <c r="G1868" s="166">
        <v>64.124680448116081</v>
      </c>
    </row>
    <row r="1869" spans="1:7" x14ac:dyDescent="0.25">
      <c r="A1869">
        <v>34</v>
      </c>
      <c r="B1869">
        <v>0.02</v>
      </c>
      <c r="C1869">
        <v>0.17</v>
      </c>
      <c r="D1869">
        <v>2.53621475434581</v>
      </c>
      <c r="E1869">
        <v>1.0421590516986838</v>
      </c>
      <c r="F1869">
        <v>0.32295684281957421</v>
      </c>
      <c r="G1869" s="166">
        <v>63.718217669497704</v>
      </c>
    </row>
    <row r="1870" spans="1:7" x14ac:dyDescent="0.25">
      <c r="A1870">
        <v>33</v>
      </c>
      <c r="B1870">
        <v>0.02</v>
      </c>
      <c r="C1870">
        <v>0.17</v>
      </c>
      <c r="D1870">
        <v>2.5147463385383162</v>
      </c>
      <c r="E1870">
        <v>1.0333374391672241</v>
      </c>
      <c r="F1870">
        <v>0.32022309490739698</v>
      </c>
      <c r="G1870" s="166">
        <v>63.303998495393046</v>
      </c>
    </row>
    <row r="1871" spans="1:7" x14ac:dyDescent="0.25">
      <c r="A1871">
        <v>32</v>
      </c>
      <c r="B1871">
        <v>0.02</v>
      </c>
      <c r="C1871">
        <v>0.17</v>
      </c>
      <c r="D1871">
        <v>2.4913374374414419</v>
      </c>
      <c r="E1871">
        <v>1.0237184594942192</v>
      </c>
      <c r="F1871">
        <v>0.31724224922815469</v>
      </c>
      <c r="G1871" s="166">
        <v>62.878174869639942</v>
      </c>
    </row>
    <row r="1872" spans="1:7" x14ac:dyDescent="0.25">
      <c r="A1872">
        <v>31</v>
      </c>
      <c r="B1872">
        <v>0.02</v>
      </c>
      <c r="C1872">
        <v>0.17</v>
      </c>
      <c r="D1872">
        <v>2.4662824036486848</v>
      </c>
      <c r="E1872">
        <v>1.0134230654574974</v>
      </c>
      <c r="F1872">
        <v>0.31405178809051582</v>
      </c>
      <c r="G1872" s="166">
        <v>62.407668060729833</v>
      </c>
    </row>
    <row r="1873" spans="1:7" x14ac:dyDescent="0.25">
      <c r="A1873">
        <v>30</v>
      </c>
      <c r="B1873">
        <v>0.02</v>
      </c>
      <c r="C1873">
        <v>0.17</v>
      </c>
      <c r="D1873">
        <v>2.4342973719719958</v>
      </c>
      <c r="E1873">
        <v>1.0002800576646385</v>
      </c>
      <c r="F1873">
        <v>0.30997887398492302</v>
      </c>
      <c r="G1873" s="166">
        <v>61.845456257472222</v>
      </c>
    </row>
    <row r="1874" spans="1:7" x14ac:dyDescent="0.25">
      <c r="A1874">
        <v>29</v>
      </c>
      <c r="B1874">
        <v>0.02</v>
      </c>
      <c r="C1874">
        <v>0.17</v>
      </c>
      <c r="D1874">
        <v>2.3958219059419319</v>
      </c>
      <c r="E1874">
        <v>0.98447005769407248</v>
      </c>
      <c r="F1874">
        <v>0.30507948010915231</v>
      </c>
      <c r="G1874" s="166">
        <v>61.323191663547753</v>
      </c>
    </row>
    <row r="1875" spans="1:7" x14ac:dyDescent="0.25">
      <c r="A1875">
        <v>28</v>
      </c>
      <c r="B1875">
        <v>0.02</v>
      </c>
      <c r="C1875">
        <v>0.17</v>
      </c>
      <c r="D1875">
        <v>2.3507909738168733</v>
      </c>
      <c r="E1875">
        <v>0.96596634327472175</v>
      </c>
      <c r="F1875">
        <v>0.2993453254428679</v>
      </c>
      <c r="G1875" s="166">
        <v>60.856219361797464</v>
      </c>
    </row>
    <row r="1876" spans="1:7" x14ac:dyDescent="0.25">
      <c r="A1876">
        <v>27</v>
      </c>
      <c r="B1876">
        <v>0.02</v>
      </c>
      <c r="C1876">
        <v>0.17</v>
      </c>
      <c r="D1876">
        <v>2.2981732731434712</v>
      </c>
      <c r="E1876">
        <v>0.9443451406764809</v>
      </c>
      <c r="F1876">
        <v>0.29264508586071525</v>
      </c>
      <c r="G1876" s="166">
        <v>60.473293352678866</v>
      </c>
    </row>
    <row r="1877" spans="1:7" x14ac:dyDescent="0.25">
      <c r="A1877">
        <v>26</v>
      </c>
      <c r="B1877">
        <v>0.02</v>
      </c>
      <c r="C1877">
        <v>0.17</v>
      </c>
      <c r="D1877">
        <v>2.2377356718700936</v>
      </c>
      <c r="E1877">
        <v>0.91951065332793114</v>
      </c>
      <c r="F1877">
        <v>0.28494907476331394</v>
      </c>
      <c r="G1877" s="166">
        <v>60.196663246283975</v>
      </c>
    </row>
    <row r="1878" spans="1:7" x14ac:dyDescent="0.25">
      <c r="A1878">
        <v>25</v>
      </c>
      <c r="B1878">
        <v>0.02</v>
      </c>
      <c r="C1878">
        <v>0.17</v>
      </c>
      <c r="D1878">
        <v>2.1686958502728948</v>
      </c>
      <c r="E1878">
        <v>0.89114141729147334</v>
      </c>
      <c r="F1878">
        <v>0.27615767302036126</v>
      </c>
      <c r="G1878" s="166">
        <v>60.061201143381737</v>
      </c>
    </row>
    <row r="1879" spans="1:7" x14ac:dyDescent="0.25">
      <c r="A1879">
        <v>24</v>
      </c>
      <c r="B1879">
        <v>0.02</v>
      </c>
      <c r="C1879">
        <v>0.17</v>
      </c>
      <c r="D1879">
        <v>2.0901863678206976</v>
      </c>
      <c r="E1879">
        <v>0.85888099153630482</v>
      </c>
      <c r="F1879">
        <v>0.26616042237716786</v>
      </c>
      <c r="G1879" s="166">
        <v>60.110366015911787</v>
      </c>
    </row>
    <row r="1880" spans="1:7" x14ac:dyDescent="0.25">
      <c r="A1880">
        <v>23</v>
      </c>
      <c r="B1880">
        <v>0.02</v>
      </c>
      <c r="C1880">
        <v>0.17</v>
      </c>
      <c r="D1880">
        <v>2.0057909366633719</v>
      </c>
      <c r="E1880">
        <v>0.82420196352737463</v>
      </c>
      <c r="F1880">
        <v>0.25541366603555155</v>
      </c>
      <c r="G1880" s="166">
        <v>60.089166584819445</v>
      </c>
    </row>
    <row r="1881" spans="1:7" x14ac:dyDescent="0.25">
      <c r="A1881">
        <v>22</v>
      </c>
      <c r="B1881">
        <v>0.02</v>
      </c>
      <c r="C1881">
        <v>0.17</v>
      </c>
      <c r="D1881">
        <v>1.9213955055060474</v>
      </c>
      <c r="E1881">
        <v>0.78952293551844499</v>
      </c>
      <c r="F1881">
        <v>0.2446669096939354</v>
      </c>
      <c r="G1881" s="166">
        <v>60.003553388229797</v>
      </c>
    </row>
    <row r="1882" spans="1:7" x14ac:dyDescent="0.25">
      <c r="A1882">
        <v>21</v>
      </c>
      <c r="B1882">
        <v>0.02</v>
      </c>
      <c r="C1882">
        <v>0.17</v>
      </c>
      <c r="D1882">
        <v>1.8370000743487216</v>
      </c>
      <c r="E1882">
        <v>0.75484390750951491</v>
      </c>
      <c r="F1882">
        <v>0.23392015335231911</v>
      </c>
      <c r="G1882" s="166">
        <v>59.910073711132299</v>
      </c>
    </row>
    <row r="1883" spans="1:7" x14ac:dyDescent="0.25">
      <c r="A1883">
        <v>20</v>
      </c>
      <c r="B1883">
        <v>0.02</v>
      </c>
      <c r="C1883">
        <v>0.17</v>
      </c>
      <c r="D1883">
        <v>1.7526046431913955</v>
      </c>
      <c r="E1883">
        <v>0.72016487950058461</v>
      </c>
      <c r="F1883">
        <v>0.22317339701070277</v>
      </c>
      <c r="G1883" s="166">
        <v>59.807591139190556</v>
      </c>
    </row>
    <row r="1884" spans="1:7" x14ac:dyDescent="0.25">
      <c r="A1884">
        <v>19</v>
      </c>
      <c r="B1884">
        <v>0.02</v>
      </c>
      <c r="C1884">
        <v>0.17</v>
      </c>
      <c r="D1884">
        <v>1.6682092120340701</v>
      </c>
      <c r="E1884">
        <v>0.68548585149165464</v>
      </c>
      <c r="F1884">
        <v>0.21242664066908651</v>
      </c>
      <c r="G1884" s="166">
        <v>59.694739291281792</v>
      </c>
    </row>
    <row r="1885" spans="1:7" x14ac:dyDescent="0.25">
      <c r="A1885">
        <v>18</v>
      </c>
      <c r="B1885">
        <v>0.02</v>
      </c>
      <c r="C1885">
        <v>0.17</v>
      </c>
      <c r="D1885">
        <v>1.583813780876745</v>
      </c>
      <c r="E1885">
        <v>0.65080682348272478</v>
      </c>
      <c r="F1885">
        <v>0.2016798843274703</v>
      </c>
      <c r="G1885" s="166">
        <v>59.569860549206354</v>
      </c>
    </row>
    <row r="1886" spans="1:7" x14ac:dyDescent="0.25">
      <c r="A1886">
        <v>17</v>
      </c>
      <c r="B1886">
        <v>0.02</v>
      </c>
      <c r="C1886">
        <v>0.17</v>
      </c>
      <c r="D1886">
        <v>1.4994183497194198</v>
      </c>
      <c r="E1886">
        <v>0.61612779547379493</v>
      </c>
      <c r="F1886">
        <v>0.19093312798585407</v>
      </c>
      <c r="G1886" s="166">
        <v>59.430924095643206</v>
      </c>
    </row>
    <row r="1887" spans="1:7" x14ac:dyDescent="0.25">
      <c r="A1887">
        <v>16</v>
      </c>
      <c r="B1887">
        <v>0.02</v>
      </c>
      <c r="C1887">
        <v>0.17</v>
      </c>
      <c r="D1887">
        <v>1.4150229185620946</v>
      </c>
      <c r="E1887">
        <v>0.58144876746486496</v>
      </c>
      <c r="F1887">
        <v>0.18018637164423784</v>
      </c>
      <c r="G1887" s="166">
        <v>59.275414621603758</v>
      </c>
    </row>
    <row r="1888" spans="1:7" x14ac:dyDescent="0.25">
      <c r="A1888">
        <v>15</v>
      </c>
      <c r="B1888">
        <v>0.02</v>
      </c>
      <c r="C1888">
        <v>0.17</v>
      </c>
      <c r="D1888">
        <v>1.3306274874047685</v>
      </c>
      <c r="E1888">
        <v>0.54676973945593477</v>
      </c>
      <c r="F1888">
        <v>0.1694396153026215</v>
      </c>
      <c r="G1888" s="166">
        <v>59.10017868131461</v>
      </c>
    </row>
    <row r="1889" spans="1:7" x14ac:dyDescent="0.25">
      <c r="A1889">
        <v>14</v>
      </c>
      <c r="B1889">
        <v>0.02</v>
      </c>
      <c r="C1889">
        <v>0.17</v>
      </c>
      <c r="D1889">
        <v>1.2462320562474434</v>
      </c>
      <c r="E1889">
        <v>0.51209071144700491</v>
      </c>
      <c r="F1889">
        <v>0.15869285896100532</v>
      </c>
      <c r="G1889" s="166">
        <v>58.901208617575726</v>
      </c>
    </row>
    <row r="1890" spans="1:7" x14ac:dyDescent="0.25">
      <c r="A1890">
        <v>13</v>
      </c>
      <c r="B1890">
        <v>0.02</v>
      </c>
      <c r="C1890">
        <v>0.17</v>
      </c>
      <c r="D1890">
        <v>1.1618366250901175</v>
      </c>
      <c r="E1890">
        <v>0.47741168343807472</v>
      </c>
      <c r="F1890">
        <v>0.14794610261938898</v>
      </c>
      <c r="G1890" s="166">
        <v>58.673332313572097</v>
      </c>
    </row>
    <row r="1891" spans="1:7" x14ac:dyDescent="0.25">
      <c r="A1891">
        <v>12</v>
      </c>
      <c r="B1891">
        <v>0.02</v>
      </c>
      <c r="C1891">
        <v>0.17</v>
      </c>
      <c r="D1891">
        <v>1.0773937461426952</v>
      </c>
      <c r="E1891">
        <v>0.44271315860071259</v>
      </c>
      <c r="F1891">
        <v>0.13719330436493304</v>
      </c>
      <c r="G1891" s="166">
        <v>58.412179353073739</v>
      </c>
    </row>
    <row r="1892" spans="1:7" x14ac:dyDescent="0.25">
      <c r="A1892">
        <v>11</v>
      </c>
      <c r="B1892">
        <v>0.02</v>
      </c>
      <c r="C1892">
        <v>0.17</v>
      </c>
      <c r="D1892">
        <v>0.99283882836022752</v>
      </c>
      <c r="E1892">
        <v>0.40796859575103928</v>
      </c>
      <c r="F1892">
        <v>0.12642623929479149</v>
      </c>
      <c r="G1892" s="166">
        <v>58.112780768905985</v>
      </c>
    </row>
    <row r="1893" spans="1:7" x14ac:dyDescent="0.25">
      <c r="A1893">
        <v>10</v>
      </c>
      <c r="B1893">
        <v>0.02</v>
      </c>
      <c r="C1893">
        <v>0.17</v>
      </c>
      <c r="D1893">
        <v>0.90828391057775992</v>
      </c>
      <c r="E1893">
        <v>0.37322403290136602</v>
      </c>
      <c r="F1893">
        <v>0.11565917422464994</v>
      </c>
      <c r="G1893" s="166">
        <v>57.757638331139923</v>
      </c>
    </row>
    <row r="1894" spans="1:7" x14ac:dyDescent="0.25">
      <c r="A1894">
        <v>9</v>
      </c>
      <c r="B1894">
        <v>0.02</v>
      </c>
      <c r="C1894">
        <v>0.17</v>
      </c>
      <c r="D1894">
        <v>0.82372899279529177</v>
      </c>
      <c r="E1894">
        <v>0.33847947005169254</v>
      </c>
      <c r="F1894">
        <v>0.10489210915450832</v>
      </c>
      <c r="G1894" s="166">
        <v>57.329585895330801</v>
      </c>
    </row>
    <row r="1895" spans="1:7" x14ac:dyDescent="0.25">
      <c r="A1895">
        <v>8</v>
      </c>
      <c r="B1895">
        <v>0.02</v>
      </c>
      <c r="C1895">
        <v>0.17</v>
      </c>
      <c r="D1895">
        <v>0.73912971830143182</v>
      </c>
      <c r="E1895">
        <v>0.30371668053245121</v>
      </c>
      <c r="F1895">
        <v>9.4119395783707455E-2</v>
      </c>
      <c r="G1895" s="166">
        <v>56.806820424871319</v>
      </c>
    </row>
    <row r="1896" spans="1:7" x14ac:dyDescent="0.25">
      <c r="A1896">
        <v>7</v>
      </c>
      <c r="B1896">
        <v>0.02</v>
      </c>
      <c r="C1896">
        <v>0.17</v>
      </c>
      <c r="D1896">
        <v>0.65433518999891571</v>
      </c>
      <c r="E1896">
        <v>0.26887365903611843</v>
      </c>
      <c r="F1896">
        <v>8.3321819158135274E-2</v>
      </c>
      <c r="G1896" s="166">
        <v>56.164722384226067</v>
      </c>
    </row>
    <row r="1897" spans="1:7" x14ac:dyDescent="0.25">
      <c r="A1897">
        <v>6</v>
      </c>
      <c r="B1897">
        <v>0.02</v>
      </c>
      <c r="C1897">
        <v>0.17</v>
      </c>
      <c r="D1897">
        <v>0.56950237283329719</v>
      </c>
      <c r="E1897">
        <v>0.23401490421704829</v>
      </c>
      <c r="F1897">
        <v>7.251936690035507E-2</v>
      </c>
      <c r="G1897" s="166">
        <v>55.334950145807191</v>
      </c>
    </row>
    <row r="1898" spans="1:7" x14ac:dyDescent="0.25">
      <c r="A1898">
        <v>5</v>
      </c>
      <c r="B1898">
        <v>0.02</v>
      </c>
      <c r="C1898">
        <v>0.17</v>
      </c>
      <c r="D1898">
        <v>0.48438737564728812</v>
      </c>
      <c r="E1898">
        <v>0.19904019846679039</v>
      </c>
      <c r="F1898">
        <v>6.1680982366597095E-2</v>
      </c>
      <c r="G1898" s="166">
        <v>54.244552409687792</v>
      </c>
    </row>
    <row r="1899" spans="1:7" x14ac:dyDescent="0.25">
      <c r="A1899">
        <v>4</v>
      </c>
      <c r="B1899">
        <v>0.02</v>
      </c>
      <c r="C1899">
        <v>0.17</v>
      </c>
      <c r="D1899">
        <v>0.3988965436919259</v>
      </c>
      <c r="E1899">
        <v>0.1639110579999323</v>
      </c>
      <c r="F1899">
        <v>5.0794739736309963E-2</v>
      </c>
      <c r="G1899" s="166">
        <v>52.736294962636002</v>
      </c>
    </row>
    <row r="1900" spans="1:7" x14ac:dyDescent="0.25">
      <c r="A1900">
        <v>3</v>
      </c>
      <c r="B1900">
        <v>0.02</v>
      </c>
      <c r="C1900">
        <v>0.17</v>
      </c>
      <c r="D1900">
        <v>0.31266853361968827</v>
      </c>
      <c r="E1900">
        <v>0.12847900278742841</v>
      </c>
      <c r="F1900">
        <v>3.9814626223514241E-2</v>
      </c>
      <c r="G1900" s="166">
        <v>50.517648150047634</v>
      </c>
    </row>
    <row r="1901" spans="1:7" x14ac:dyDescent="0.25">
      <c r="A1901">
        <v>2</v>
      </c>
      <c r="B1901">
        <v>0.02</v>
      </c>
      <c r="C1901">
        <v>0.17</v>
      </c>
      <c r="D1901">
        <v>0.22462566468537998</v>
      </c>
      <c r="E1901">
        <v>9.2301201739552488E-2</v>
      </c>
      <c r="F1901">
        <v>2.8603411977922471E-2</v>
      </c>
      <c r="G1901" s="166">
        <v>46.967201254806817</v>
      </c>
    </row>
    <row r="1902" spans="1:7" x14ac:dyDescent="0.25">
      <c r="A1902">
        <v>1</v>
      </c>
      <c r="B1902">
        <v>0.02</v>
      </c>
      <c r="C1902">
        <v>0.17</v>
      </c>
      <c r="D1902">
        <v>0.12808938842326995</v>
      </c>
      <c r="E1902">
        <v>5.2633364482690119E-2</v>
      </c>
      <c r="F1902">
        <v>1.6310663130157388E-2</v>
      </c>
      <c r="G1902" s="166">
        <v>41.318342485588154</v>
      </c>
    </row>
    <row r="1903" spans="1:7" x14ac:dyDescent="0.25">
      <c r="A1903">
        <v>50</v>
      </c>
      <c r="B1903">
        <v>1.4999999999999999E-2</v>
      </c>
      <c r="C1903">
        <v>0.17</v>
      </c>
      <c r="D1903">
        <v>2.763254362720168</v>
      </c>
      <c r="E1903">
        <v>1.1354521699395692</v>
      </c>
      <c r="F1903">
        <v>0.35186764187156078</v>
      </c>
      <c r="G1903" s="166">
        <v>68.923110749354109</v>
      </c>
    </row>
    <row r="1904" spans="1:7" x14ac:dyDescent="0.25">
      <c r="A1904">
        <v>49</v>
      </c>
      <c r="B1904">
        <v>1.4999999999999999E-2</v>
      </c>
      <c r="C1904">
        <v>0.17</v>
      </c>
      <c r="D1904">
        <v>2.7523792700845666</v>
      </c>
      <c r="E1904">
        <v>1.130983472559415</v>
      </c>
      <c r="F1904">
        <v>0.35048282791724317</v>
      </c>
      <c r="G1904" s="166">
        <v>68.642258674034892</v>
      </c>
    </row>
    <row r="1905" spans="1:7" x14ac:dyDescent="0.25">
      <c r="A1905">
        <v>48</v>
      </c>
      <c r="B1905">
        <v>1.4999999999999999E-2</v>
      </c>
      <c r="C1905">
        <v>0.17</v>
      </c>
      <c r="D1905">
        <v>2.7415041774489648</v>
      </c>
      <c r="E1905">
        <v>1.1265147751792606</v>
      </c>
      <c r="F1905">
        <v>0.34909801396292556</v>
      </c>
      <c r="G1905" s="166">
        <v>68.359178411459112</v>
      </c>
    </row>
    <row r="1906" spans="1:7" x14ac:dyDescent="0.25">
      <c r="A1906">
        <v>47</v>
      </c>
      <c r="B1906">
        <v>1.4999999999999999E-2</v>
      </c>
      <c r="C1906">
        <v>0.17</v>
      </c>
      <c r="D1906">
        <v>2.7302419543116137</v>
      </c>
      <c r="E1906">
        <v>1.1218870015395364</v>
      </c>
      <c r="F1906">
        <v>0.34766390353464416</v>
      </c>
      <c r="G1906" s="166">
        <v>68.069848514182809</v>
      </c>
    </row>
    <row r="1907" spans="1:7" x14ac:dyDescent="0.25">
      <c r="A1907">
        <v>46</v>
      </c>
      <c r="B1907">
        <v>1.4999999999999999E-2</v>
      </c>
      <c r="C1907">
        <v>0.17</v>
      </c>
      <c r="D1907">
        <v>2.7176821903788526</v>
      </c>
      <c r="E1907">
        <v>1.1167260538527142</v>
      </c>
      <c r="F1907">
        <v>0.34606456668852997</v>
      </c>
      <c r="G1907" s="166">
        <v>67.764529284527597</v>
      </c>
    </row>
    <row r="1908" spans="1:7" x14ac:dyDescent="0.25">
      <c r="A1908">
        <v>45</v>
      </c>
      <c r="B1908">
        <v>1.4999999999999999E-2</v>
      </c>
      <c r="C1908">
        <v>0.17</v>
      </c>
      <c r="D1908">
        <v>2.705122426446092</v>
      </c>
      <c r="E1908">
        <v>1.1115651061658922</v>
      </c>
      <c r="F1908">
        <v>0.3444652298424159</v>
      </c>
      <c r="G1908" s="166">
        <v>67.45637488747947</v>
      </c>
    </row>
    <row r="1909" spans="1:7" x14ac:dyDescent="0.25">
      <c r="A1909">
        <v>44</v>
      </c>
      <c r="B1909">
        <v>1.4999999999999999E-2</v>
      </c>
      <c r="C1909">
        <v>0.17</v>
      </c>
      <c r="D1909">
        <v>2.692562662513331</v>
      </c>
      <c r="E1909">
        <v>1.1064041584790698</v>
      </c>
      <c r="F1909">
        <v>0.34286589299630171</v>
      </c>
      <c r="G1909" s="166">
        <v>67.145345648158894</v>
      </c>
    </row>
    <row r="1910" spans="1:7" x14ac:dyDescent="0.25">
      <c r="A1910">
        <v>43</v>
      </c>
      <c r="B1910">
        <v>1.4999999999999999E-2</v>
      </c>
      <c r="C1910">
        <v>0.17</v>
      </c>
      <c r="D1910">
        <v>2.6782414075547063</v>
      </c>
      <c r="E1910">
        <v>1.1005193943985669</v>
      </c>
      <c r="F1910">
        <v>0.34104225117782933</v>
      </c>
      <c r="G1910" s="166">
        <v>66.816195397278221</v>
      </c>
    </row>
    <row r="1911" spans="1:7" x14ac:dyDescent="0.25">
      <c r="A1911">
        <v>42</v>
      </c>
      <c r="B1911">
        <v>1.4999999999999999E-2</v>
      </c>
      <c r="C1911">
        <v>0.17</v>
      </c>
      <c r="D1911">
        <v>2.6638721917864645</v>
      </c>
      <c r="E1911">
        <v>1.0946149226841648</v>
      </c>
      <c r="F1911">
        <v>0.33921250211957121</v>
      </c>
      <c r="G1911" s="166">
        <v>66.483083608151944</v>
      </c>
    </row>
    <row r="1912" spans="1:7" x14ac:dyDescent="0.25">
      <c r="A1912">
        <v>41</v>
      </c>
      <c r="B1912">
        <v>1.4999999999999999E-2</v>
      </c>
      <c r="C1912">
        <v>0.17</v>
      </c>
      <c r="D1912">
        <v>2.6492684760059757</v>
      </c>
      <c r="E1912">
        <v>1.0886140922880034</v>
      </c>
      <c r="F1912">
        <v>0.33735289226838672</v>
      </c>
      <c r="G1912" s="166">
        <v>66.144772472150521</v>
      </c>
    </row>
    <row r="1913" spans="1:7" x14ac:dyDescent="0.25">
      <c r="A1913">
        <v>40</v>
      </c>
      <c r="B1913">
        <v>1.4999999999999999E-2</v>
      </c>
      <c r="C1913">
        <v>0.17</v>
      </c>
      <c r="D1913">
        <v>2.6329642687056465</v>
      </c>
      <c r="E1913">
        <v>1.0819145108784658</v>
      </c>
      <c r="F1913">
        <v>0.33527674500784116</v>
      </c>
      <c r="G1913" s="166">
        <v>65.790915463231727</v>
      </c>
    </row>
    <row r="1914" spans="1:7" x14ac:dyDescent="0.25">
      <c r="A1914">
        <v>39</v>
      </c>
      <c r="B1914">
        <v>1.4999999999999999E-2</v>
      </c>
      <c r="C1914">
        <v>0.17</v>
      </c>
      <c r="D1914">
        <v>2.6166600614053173</v>
      </c>
      <c r="E1914">
        <v>1.0752149294689284</v>
      </c>
      <c r="F1914">
        <v>0.3332005977472956</v>
      </c>
      <c r="G1914" s="166">
        <v>65.432648742777857</v>
      </c>
    </row>
    <row r="1915" spans="1:7" x14ac:dyDescent="0.25">
      <c r="A1915">
        <v>38</v>
      </c>
      <c r="B1915">
        <v>1.4999999999999999E-2</v>
      </c>
      <c r="C1915">
        <v>0.17</v>
      </c>
      <c r="D1915">
        <v>2.5991148812331186</v>
      </c>
      <c r="E1915">
        <v>1.0680054184057151</v>
      </c>
      <c r="F1915">
        <v>0.33096642732249049</v>
      </c>
      <c r="G1915" s="166">
        <v>65.063445255712736</v>
      </c>
    </row>
    <row r="1916" spans="1:7" x14ac:dyDescent="0.25">
      <c r="A1916">
        <v>37</v>
      </c>
      <c r="B1916">
        <v>1.4999999999999999E-2</v>
      </c>
      <c r="C1916">
        <v>0.17</v>
      </c>
      <c r="D1916">
        <v>2.58074937374198</v>
      </c>
      <c r="E1916">
        <v>1.0604588256583405</v>
      </c>
      <c r="F1916">
        <v>0.32862779795131669</v>
      </c>
      <c r="G1916" s="166">
        <v>64.684812217074111</v>
      </c>
    </row>
    <row r="1917" spans="1:7" x14ac:dyDescent="0.25">
      <c r="A1917">
        <v>36</v>
      </c>
      <c r="B1917">
        <v>1.4999999999999999E-2</v>
      </c>
      <c r="C1917">
        <v>0.17</v>
      </c>
      <c r="D1917">
        <v>2.5615942217155423</v>
      </c>
      <c r="E1917">
        <v>1.0525877591262931</v>
      </c>
      <c r="F1917">
        <v>0.32618861672205091</v>
      </c>
      <c r="G1917" s="166">
        <v>64.297938402323823</v>
      </c>
    </row>
    <row r="1918" spans="1:7" x14ac:dyDescent="0.25">
      <c r="A1918">
        <v>35</v>
      </c>
      <c r="B1918">
        <v>1.4999999999999999E-2</v>
      </c>
      <c r="C1918">
        <v>0.17</v>
      </c>
      <c r="D1918">
        <v>2.5410403265209118</v>
      </c>
      <c r="E1918">
        <v>1.0441419333585633</v>
      </c>
      <c r="F1918">
        <v>0.32357132215410156</v>
      </c>
      <c r="G1918" s="166">
        <v>63.899993867282006</v>
      </c>
    </row>
    <row r="1919" spans="1:7" x14ac:dyDescent="0.25">
      <c r="A1919">
        <v>34</v>
      </c>
      <c r="B1919">
        <v>1.4999999999999999E-2</v>
      </c>
      <c r="C1919">
        <v>0.17</v>
      </c>
      <c r="D1919">
        <v>2.5196665909898646</v>
      </c>
      <c r="E1919">
        <v>1.035359226013246</v>
      </c>
      <c r="F1919">
        <v>0.32084963065122718</v>
      </c>
      <c r="G1919" s="166">
        <v>63.493890700725629</v>
      </c>
    </row>
    <row r="1920" spans="1:7" x14ac:dyDescent="0.25">
      <c r="A1920">
        <v>33</v>
      </c>
      <c r="B1920">
        <v>1.4999999999999999E-2</v>
      </c>
      <c r="C1920">
        <v>0.17</v>
      </c>
      <c r="D1920">
        <v>2.4967964317442948</v>
      </c>
      <c r="E1920">
        <v>1.0259616214016016</v>
      </c>
      <c r="F1920">
        <v>0.31793738735161148</v>
      </c>
      <c r="G1920" s="166">
        <v>63.077517175195013</v>
      </c>
    </row>
    <row r="1921" spans="1:7" x14ac:dyDescent="0.25">
      <c r="A1921">
        <v>32</v>
      </c>
      <c r="B1921">
        <v>1.4999999999999999E-2</v>
      </c>
      <c r="C1921">
        <v>0.17</v>
      </c>
      <c r="D1921">
        <v>2.4706639624399198</v>
      </c>
      <c r="E1921">
        <v>1.0152234970443774</v>
      </c>
      <c r="F1921">
        <v>0.31460972759127021</v>
      </c>
      <c r="G1921" s="166">
        <v>62.585674572709358</v>
      </c>
    </row>
    <row r="1922" spans="1:7" x14ac:dyDescent="0.25">
      <c r="A1922">
        <v>31</v>
      </c>
      <c r="B1922">
        <v>1.4999999999999999E-2</v>
      </c>
      <c r="C1922">
        <v>0.17</v>
      </c>
      <c r="D1922">
        <v>2.4366150586061979</v>
      </c>
      <c r="E1922">
        <v>1.0012324210639507</v>
      </c>
      <c r="F1922">
        <v>0.31027400386568116</v>
      </c>
      <c r="G1922" s="166">
        <v>62.062241729395559</v>
      </c>
    </row>
    <row r="1923" spans="1:7" x14ac:dyDescent="0.25">
      <c r="A1923">
        <v>30</v>
      </c>
      <c r="B1923">
        <v>1.4999999999999999E-2</v>
      </c>
      <c r="C1923">
        <v>0.17</v>
      </c>
      <c r="D1923">
        <v>2.3955333611112044</v>
      </c>
      <c r="E1923">
        <v>0.98435149139102263</v>
      </c>
      <c r="F1923">
        <v>0.30504273735013165</v>
      </c>
      <c r="G1923" s="166">
        <v>61.594189487013594</v>
      </c>
    </row>
    <row r="1924" spans="1:7" x14ac:dyDescent="0.25">
      <c r="A1924">
        <v>29</v>
      </c>
      <c r="B1924">
        <v>1.4999999999999999E-2</v>
      </c>
      <c r="C1924">
        <v>0.17</v>
      </c>
      <c r="D1924">
        <v>2.3470858200049269</v>
      </c>
      <c r="E1924">
        <v>0.96444385407050925</v>
      </c>
      <c r="F1924">
        <v>0.29887351808695817</v>
      </c>
      <c r="G1924" s="166">
        <v>61.2035965173013</v>
      </c>
    </row>
    <row r="1925" spans="1:7" x14ac:dyDescent="0.25">
      <c r="A1925">
        <v>28</v>
      </c>
      <c r="B1925">
        <v>1.4999999999999999E-2</v>
      </c>
      <c r="C1925">
        <v>0.17</v>
      </c>
      <c r="D1925">
        <v>2.2909398733274071</v>
      </c>
      <c r="E1925">
        <v>0.94137285566790674</v>
      </c>
      <c r="F1925">
        <v>0.29172399825823803</v>
      </c>
      <c r="G1925" s="166">
        <v>60.91409909802951</v>
      </c>
    </row>
    <row r="1926" spans="1:7" x14ac:dyDescent="0.25">
      <c r="A1926">
        <v>27</v>
      </c>
      <c r="B1926">
        <v>1.4999999999999999E-2</v>
      </c>
      <c r="C1926">
        <v>0.17</v>
      </c>
      <c r="D1926">
        <v>2.2268646581057525</v>
      </c>
      <c r="E1926">
        <v>0.91504363200166683</v>
      </c>
      <c r="F1926">
        <v>0.28356478020483311</v>
      </c>
      <c r="G1926" s="166">
        <v>60.74977839468022</v>
      </c>
    </row>
    <row r="1927" spans="1:7" x14ac:dyDescent="0.25">
      <c r="A1927">
        <v>26</v>
      </c>
      <c r="B1927">
        <v>1.4999999999999999E-2</v>
      </c>
      <c r="C1927">
        <v>0.17</v>
      </c>
      <c r="D1927">
        <v>2.1544208936960501</v>
      </c>
      <c r="E1927">
        <v>0.88527567773465043</v>
      </c>
      <c r="F1927">
        <v>0.27433992675122354</v>
      </c>
      <c r="G1927" s="166">
        <v>60.742282606857628</v>
      </c>
    </row>
    <row r="1928" spans="1:7" x14ac:dyDescent="0.25">
      <c r="A1928">
        <v>25</v>
      </c>
      <c r="B1928">
        <v>1.4999999999999999E-2</v>
      </c>
      <c r="C1928">
        <v>0.17</v>
      </c>
      <c r="D1928">
        <v>2.0747651606451183</v>
      </c>
      <c r="E1928">
        <v>0.85254424476885837</v>
      </c>
      <c r="F1928">
        <v>0.26419671470085304</v>
      </c>
      <c r="G1928" s="166">
        <v>60.778810733480235</v>
      </c>
    </row>
    <row r="1929" spans="1:7" x14ac:dyDescent="0.25">
      <c r="A1929">
        <v>24</v>
      </c>
      <c r="B1929">
        <v>1.4999999999999999E-2</v>
      </c>
      <c r="C1929">
        <v>0.17</v>
      </c>
      <c r="D1929">
        <v>1.9943796229718103</v>
      </c>
      <c r="E1929">
        <v>0.81951292690890354</v>
      </c>
      <c r="F1929">
        <v>0.25396057069497141</v>
      </c>
      <c r="G1929" s="166">
        <v>60.700970768921309</v>
      </c>
    </row>
    <row r="1930" spans="1:7" x14ac:dyDescent="0.25">
      <c r="A1930">
        <v>23</v>
      </c>
      <c r="B1930">
        <v>1.4999999999999999E-2</v>
      </c>
      <c r="C1930">
        <v>0.17</v>
      </c>
      <c r="D1930">
        <v>1.9139575392346433</v>
      </c>
      <c r="E1930">
        <v>0.78646659186194234</v>
      </c>
      <c r="F1930">
        <v>0.24371977298167746</v>
      </c>
      <c r="G1930" s="166">
        <v>60.61769967427611</v>
      </c>
    </row>
    <row r="1931" spans="1:7" x14ac:dyDescent="0.25">
      <c r="A1931">
        <v>22</v>
      </c>
      <c r="B1931">
        <v>1.4999999999999999E-2</v>
      </c>
      <c r="C1931">
        <v>0.17</v>
      </c>
      <c r="D1931">
        <v>1.8335354554974763</v>
      </c>
      <c r="E1931">
        <v>0.75342025681498115</v>
      </c>
      <c r="F1931">
        <v>0.23347897526838357</v>
      </c>
      <c r="G1931" s="166">
        <v>60.527123746854052</v>
      </c>
    </row>
    <row r="1932" spans="1:7" x14ac:dyDescent="0.25">
      <c r="A1932">
        <v>21</v>
      </c>
      <c r="B1932">
        <v>1.4999999999999999E-2</v>
      </c>
      <c r="C1932">
        <v>0.17</v>
      </c>
      <c r="D1932">
        <v>1.7531133717603098</v>
      </c>
      <c r="E1932">
        <v>0.72037392176802018</v>
      </c>
      <c r="F1932">
        <v>0.22323817755508971</v>
      </c>
      <c r="G1932" s="166">
        <v>60.428237683947245</v>
      </c>
    </row>
    <row r="1933" spans="1:7" x14ac:dyDescent="0.25">
      <c r="A1933">
        <v>20</v>
      </c>
      <c r="B1933">
        <v>1.4999999999999999E-2</v>
      </c>
      <c r="C1933">
        <v>0.17</v>
      </c>
      <c r="D1933">
        <v>1.6726912880231433</v>
      </c>
      <c r="E1933">
        <v>0.68732758672105909</v>
      </c>
      <c r="F1933">
        <v>0.21299737984179584</v>
      </c>
      <c r="G1933" s="166">
        <v>60.319842845226916</v>
      </c>
    </row>
    <row r="1934" spans="1:7" x14ac:dyDescent="0.25">
      <c r="A1934">
        <v>19</v>
      </c>
      <c r="B1934">
        <v>1.4999999999999999E-2</v>
      </c>
      <c r="C1934">
        <v>0.17</v>
      </c>
      <c r="D1934">
        <v>1.5922692042859756</v>
      </c>
      <c r="E1934">
        <v>0.65428125167409756</v>
      </c>
      <c r="F1934">
        <v>0.20275658212850184</v>
      </c>
      <c r="G1934" s="166">
        <v>60.200498427411858</v>
      </c>
    </row>
    <row r="1935" spans="1:7" x14ac:dyDescent="0.25">
      <c r="A1935">
        <v>18</v>
      </c>
      <c r="B1935">
        <v>1.4999999999999999E-2</v>
      </c>
      <c r="C1935">
        <v>0.17</v>
      </c>
      <c r="D1935">
        <v>1.5118471205488091</v>
      </c>
      <c r="E1935">
        <v>0.62123491662713659</v>
      </c>
      <c r="F1935">
        <v>0.19251578441520797</v>
      </c>
      <c r="G1935" s="166">
        <v>60.068457055476642</v>
      </c>
    </row>
    <row r="1936" spans="1:7" x14ac:dyDescent="0.25">
      <c r="A1936">
        <v>17</v>
      </c>
      <c r="B1936">
        <v>1.4999999999999999E-2</v>
      </c>
      <c r="C1936">
        <v>0.17</v>
      </c>
      <c r="D1936">
        <v>1.4314250368116432</v>
      </c>
      <c r="E1936">
        <v>0.58818858158017573</v>
      </c>
      <c r="F1936">
        <v>0.18227498670191419</v>
      </c>
      <c r="G1936" s="166">
        <v>59.921578661696159</v>
      </c>
    </row>
    <row r="1937" spans="1:7" x14ac:dyDescent="0.25">
      <c r="A1937">
        <v>16</v>
      </c>
      <c r="B1937">
        <v>1.4999999999999999E-2</v>
      </c>
      <c r="C1937">
        <v>0.17</v>
      </c>
      <c r="D1937">
        <v>1.3510029530744763</v>
      </c>
      <c r="E1937">
        <v>0.55514224653321453</v>
      </c>
      <c r="F1937">
        <v>0.17203418898862027</v>
      </c>
      <c r="G1937" s="166">
        <v>59.757213605200533</v>
      </c>
    </row>
    <row r="1938" spans="1:7" x14ac:dyDescent="0.25">
      <c r="A1938">
        <v>15</v>
      </c>
      <c r="B1938">
        <v>1.4999999999999999E-2</v>
      </c>
      <c r="C1938">
        <v>0.17</v>
      </c>
      <c r="D1938">
        <v>1.2705808693373093</v>
      </c>
      <c r="E1938">
        <v>0.52209591148625334</v>
      </c>
      <c r="F1938">
        <v>0.16179339127532635</v>
      </c>
      <c r="G1938" s="166">
        <v>59.572041403475609</v>
      </c>
    </row>
    <row r="1939" spans="1:7" x14ac:dyDescent="0.25">
      <c r="A1939">
        <v>14</v>
      </c>
      <c r="B1939">
        <v>1.4999999999999999E-2</v>
      </c>
      <c r="C1939">
        <v>0.17</v>
      </c>
      <c r="D1939">
        <v>1.1901587856001428</v>
      </c>
      <c r="E1939">
        <v>0.48904957643929231</v>
      </c>
      <c r="F1939">
        <v>0.15155259356203249</v>
      </c>
      <c r="G1939" s="166">
        <v>59.361844079904557</v>
      </c>
    </row>
    <row r="1940" spans="1:7" x14ac:dyDescent="0.25">
      <c r="A1940">
        <v>13</v>
      </c>
      <c r="B1940">
        <v>1.4999999999999999E-2</v>
      </c>
      <c r="C1940">
        <v>0.17</v>
      </c>
      <c r="D1940">
        <v>1.1097367018629756</v>
      </c>
      <c r="E1940">
        <v>0.45600324139233095</v>
      </c>
      <c r="F1940">
        <v>0.14131179584873854</v>
      </c>
      <c r="G1940" s="166">
        <v>59.121180958943619</v>
      </c>
    </row>
    <row r="1941" spans="1:7" x14ac:dyDescent="0.25">
      <c r="A1941">
        <v>12</v>
      </c>
      <c r="B1941">
        <v>1.4999999999999999E-2</v>
      </c>
      <c r="C1941">
        <v>0.17</v>
      </c>
      <c r="D1941">
        <v>1.0292631240160908</v>
      </c>
      <c r="E1941">
        <v>0.42293574683888091</v>
      </c>
      <c r="F1941">
        <v>0.13106444097183306</v>
      </c>
      <c r="G1941" s="166">
        <v>58.845731989481529</v>
      </c>
    </row>
    <row r="1942" spans="1:7" x14ac:dyDescent="0.25">
      <c r="A1942">
        <v>11</v>
      </c>
      <c r="B1942">
        <v>1.4999999999999999E-2</v>
      </c>
      <c r="C1942">
        <v>0.17</v>
      </c>
      <c r="D1942">
        <v>0.94868233317397233</v>
      </c>
      <c r="E1942">
        <v>0.38982419726475454</v>
      </c>
      <c r="F1942">
        <v>0.12080343379265686</v>
      </c>
      <c r="G1942" s="166">
        <v>58.529893654972824</v>
      </c>
    </row>
    <row r="1943" spans="1:7" x14ac:dyDescent="0.25">
      <c r="A1943">
        <v>10</v>
      </c>
      <c r="B1943">
        <v>1.4999999999999999E-2</v>
      </c>
      <c r="C1943">
        <v>0.17</v>
      </c>
      <c r="D1943">
        <v>0.86810154233185421</v>
      </c>
      <c r="E1943">
        <v>0.35671264769062827</v>
      </c>
      <c r="F1943">
        <v>0.11054242661348067</v>
      </c>
      <c r="G1943" s="166">
        <v>58.155420468360035</v>
      </c>
    </row>
    <row r="1944" spans="1:7" x14ac:dyDescent="0.25">
      <c r="A1944">
        <v>9</v>
      </c>
      <c r="B1944">
        <v>1.4999999999999999E-2</v>
      </c>
      <c r="C1944">
        <v>0.17</v>
      </c>
      <c r="D1944">
        <v>0.78752075148973599</v>
      </c>
      <c r="E1944">
        <v>0.3236010981165019</v>
      </c>
      <c r="F1944">
        <v>0.10028141943430445</v>
      </c>
      <c r="G1944" s="166">
        <v>57.704313502969129</v>
      </c>
    </row>
    <row r="1945" spans="1:7" x14ac:dyDescent="0.25">
      <c r="A1945">
        <v>8</v>
      </c>
      <c r="B1945">
        <v>1.4999999999999999E-2</v>
      </c>
      <c r="C1945">
        <v>0.17</v>
      </c>
      <c r="D1945">
        <v>0.70688746699331029</v>
      </c>
      <c r="E1945">
        <v>0.29046797831181859</v>
      </c>
      <c r="F1945">
        <v>9.0013727811378327E-2</v>
      </c>
      <c r="G1945" s="166">
        <v>57.154440824644006</v>
      </c>
    </row>
    <row r="1946" spans="1:7" x14ac:dyDescent="0.25">
      <c r="A1946">
        <v>7</v>
      </c>
      <c r="B1946">
        <v>1.4999999999999999E-2</v>
      </c>
      <c r="C1946">
        <v>0.17</v>
      </c>
      <c r="D1946">
        <v>0.62606884559078368</v>
      </c>
      <c r="E1946">
        <v>0.25725870149638691</v>
      </c>
      <c r="F1946">
        <v>7.9722435733502628E-2</v>
      </c>
      <c r="G1946" s="166">
        <v>56.479005550306617</v>
      </c>
    </row>
    <row r="1947" spans="1:7" x14ac:dyDescent="0.25">
      <c r="A1947">
        <v>6</v>
      </c>
      <c r="B1947">
        <v>1.4999999999999999E-2</v>
      </c>
      <c r="C1947">
        <v>0.17</v>
      </c>
      <c r="D1947">
        <v>0.54519971158416858</v>
      </c>
      <c r="E1947">
        <v>0.22402866848612371</v>
      </c>
      <c r="F1947">
        <v>6.9424711475106329E-2</v>
      </c>
      <c r="G1947" s="166">
        <v>55.60829294568601</v>
      </c>
    </row>
    <row r="1948" spans="1:7" x14ac:dyDescent="0.25">
      <c r="A1948">
        <v>5</v>
      </c>
      <c r="B1948">
        <v>1.4999999999999999E-2</v>
      </c>
      <c r="C1948">
        <v>0.17</v>
      </c>
      <c r="D1948">
        <v>0.46406380979055856</v>
      </c>
      <c r="E1948">
        <v>0.19068901760401349</v>
      </c>
      <c r="F1948">
        <v>5.9093017505704185E-2</v>
      </c>
      <c r="G1948" s="166">
        <v>54.464346408363944</v>
      </c>
    </row>
    <row r="1949" spans="1:7" x14ac:dyDescent="0.25">
      <c r="A1949">
        <v>4</v>
      </c>
      <c r="B1949">
        <v>1.4999999999999999E-2</v>
      </c>
      <c r="C1949">
        <v>0.17</v>
      </c>
      <c r="D1949">
        <v>0.3825193363345038</v>
      </c>
      <c r="E1949">
        <v>0.15718148004923305</v>
      </c>
      <c r="F1949">
        <v>4.8709296785041108E-2</v>
      </c>
      <c r="G1949" s="166">
        <v>52.889940397543626</v>
      </c>
    </row>
    <row r="1950" spans="1:7" x14ac:dyDescent="0.25">
      <c r="A1950">
        <v>3</v>
      </c>
      <c r="B1950">
        <v>1.4999999999999999E-2</v>
      </c>
      <c r="C1950">
        <v>0.17</v>
      </c>
      <c r="D1950">
        <v>0.30023370894519402</v>
      </c>
      <c r="E1950">
        <v>0.12336939404132169</v>
      </c>
      <c r="F1950">
        <v>3.8231198908848435E-2</v>
      </c>
      <c r="G1950" s="166">
        <v>50.582203211333891</v>
      </c>
    </row>
    <row r="1951" spans="1:7" x14ac:dyDescent="0.25">
      <c r="A1951">
        <v>2</v>
      </c>
      <c r="B1951">
        <v>1.4999999999999999E-2</v>
      </c>
      <c r="C1951">
        <v>0.17</v>
      </c>
      <c r="D1951">
        <v>0.21610177005056577</v>
      </c>
      <c r="E1951">
        <v>8.8798637954614318E-2</v>
      </c>
      <c r="F1951">
        <v>2.7517995179100807E-2</v>
      </c>
      <c r="G1951" s="166">
        <v>46.915369487261096</v>
      </c>
    </row>
    <row r="1952" spans="1:7" x14ac:dyDescent="0.25">
      <c r="A1952">
        <v>1</v>
      </c>
      <c r="B1952">
        <v>1.4999999999999999E-2</v>
      </c>
      <c r="C1952">
        <v>0.17</v>
      </c>
      <c r="D1952">
        <v>0.12128720701496792</v>
      </c>
      <c r="E1952">
        <v>4.9838271948112155E-2</v>
      </c>
      <c r="F1952">
        <v>1.5444486073129001E-2</v>
      </c>
      <c r="G1952" s="166">
        <v>41.888775033744132</v>
      </c>
    </row>
    <row r="1953" spans="1:7" x14ac:dyDescent="0.25">
      <c r="A1953">
        <v>50</v>
      </c>
      <c r="B1953">
        <v>0.01</v>
      </c>
      <c r="C1953">
        <v>0.17</v>
      </c>
      <c r="D1953">
        <v>2.7547183508779232</v>
      </c>
      <c r="E1953">
        <v>1.1319446270583682</v>
      </c>
      <c r="F1953">
        <v>0.35078068209021018</v>
      </c>
      <c r="G1953" s="166">
        <v>68.744954761557196</v>
      </c>
    </row>
    <row r="1954" spans="1:7" x14ac:dyDescent="0.25">
      <c r="A1954">
        <v>49</v>
      </c>
      <c r="B1954">
        <v>0.01</v>
      </c>
      <c r="C1954">
        <v>0.17</v>
      </c>
      <c r="D1954">
        <v>2.7440125070317229</v>
      </c>
      <c r="E1954">
        <v>1.1275454759016013</v>
      </c>
      <c r="F1954">
        <v>0.34941741996015452</v>
      </c>
      <c r="G1954" s="166">
        <v>68.466094286485571</v>
      </c>
    </row>
    <row r="1955" spans="1:7" x14ac:dyDescent="0.25">
      <c r="A1955">
        <v>48</v>
      </c>
      <c r="B1955">
        <v>0.01</v>
      </c>
      <c r="C1955">
        <v>0.17</v>
      </c>
      <c r="D1955">
        <v>2.7325978155003736</v>
      </c>
      <c r="E1955">
        <v>1.122855051290925</v>
      </c>
      <c r="F1955">
        <v>0.34796389449177406</v>
      </c>
      <c r="G1955" s="166">
        <v>68.177769831512407</v>
      </c>
    </row>
    <row r="1956" spans="1:7" x14ac:dyDescent="0.25">
      <c r="A1956">
        <v>47</v>
      </c>
      <c r="B1956">
        <v>0.01</v>
      </c>
      <c r="C1956">
        <v>0.17</v>
      </c>
      <c r="D1956">
        <v>2.7202488341021089</v>
      </c>
      <c r="E1956">
        <v>1.1177807165085851</v>
      </c>
      <c r="F1956">
        <v>0.34639139829933313</v>
      </c>
      <c r="G1956" s="166">
        <v>67.877285896799478</v>
      </c>
    </row>
    <row r="1957" spans="1:7" x14ac:dyDescent="0.25">
      <c r="A1957">
        <v>46</v>
      </c>
      <c r="B1957">
        <v>0.01</v>
      </c>
      <c r="C1957">
        <v>0.17</v>
      </c>
      <c r="D1957">
        <v>2.7078998527038447</v>
      </c>
      <c r="E1957">
        <v>1.1127063817262455</v>
      </c>
      <c r="F1957">
        <v>0.34481890210689231</v>
      </c>
      <c r="G1957" s="166">
        <v>67.57406133597614</v>
      </c>
    </row>
    <row r="1958" spans="1:7" x14ac:dyDescent="0.25">
      <c r="A1958">
        <v>45</v>
      </c>
      <c r="B1958">
        <v>0.01</v>
      </c>
      <c r="C1958">
        <v>0.17</v>
      </c>
      <c r="D1958">
        <v>2.695244042810975</v>
      </c>
      <c r="E1958">
        <v>1.1075059676785659</v>
      </c>
      <c r="F1958">
        <v>0.3432073349478722</v>
      </c>
      <c r="G1958" s="166">
        <v>67.265476259490143</v>
      </c>
    </row>
    <row r="1959" spans="1:7" x14ac:dyDescent="0.25">
      <c r="A1959">
        <v>44</v>
      </c>
      <c r="B1959">
        <v>0.01</v>
      </c>
      <c r="C1959">
        <v>0.17</v>
      </c>
      <c r="D1959">
        <v>2.6811333988264994</v>
      </c>
      <c r="E1959">
        <v>1.1017077460064773</v>
      </c>
      <c r="F1959">
        <v>0.34141051193689936</v>
      </c>
      <c r="G1959" s="166">
        <v>66.941500990910455</v>
      </c>
    </row>
    <row r="1960" spans="1:7" x14ac:dyDescent="0.25">
      <c r="A1960">
        <v>43</v>
      </c>
      <c r="B1960">
        <v>0.01</v>
      </c>
      <c r="C1960">
        <v>0.17</v>
      </c>
      <c r="D1960">
        <v>2.6670227548420233</v>
      </c>
      <c r="E1960">
        <v>1.0959095243343886</v>
      </c>
      <c r="F1960">
        <v>0.33961368892592653</v>
      </c>
      <c r="G1960" s="166">
        <v>66.614097555348394</v>
      </c>
    </row>
    <row r="1961" spans="1:7" x14ac:dyDescent="0.25">
      <c r="A1961">
        <v>42</v>
      </c>
      <c r="B1961">
        <v>0.01</v>
      </c>
      <c r="C1961">
        <v>0.17</v>
      </c>
      <c r="D1961">
        <v>2.652309865196131</v>
      </c>
      <c r="E1961">
        <v>1.0898638331740336</v>
      </c>
      <c r="F1961">
        <v>0.33774017707893161</v>
      </c>
      <c r="G1961" s="166">
        <v>66.279173363481391</v>
      </c>
    </row>
    <row r="1962" spans="1:7" x14ac:dyDescent="0.25">
      <c r="A1962">
        <v>41</v>
      </c>
      <c r="B1962">
        <v>0.01</v>
      </c>
      <c r="C1962">
        <v>0.17</v>
      </c>
      <c r="D1962">
        <v>2.6363187075108661</v>
      </c>
      <c r="E1962">
        <v>1.0832928873579177</v>
      </c>
      <c r="F1962">
        <v>0.33570389297080799</v>
      </c>
      <c r="G1962" s="166">
        <v>65.931724087235651</v>
      </c>
    </row>
    <row r="1963" spans="1:7" x14ac:dyDescent="0.25">
      <c r="A1963">
        <v>40</v>
      </c>
      <c r="B1963">
        <v>0.01</v>
      </c>
      <c r="C1963">
        <v>0.17</v>
      </c>
      <c r="D1963">
        <v>2.6203275498256011</v>
      </c>
      <c r="E1963">
        <v>1.0767219415418019</v>
      </c>
      <c r="F1963">
        <v>0.33366760886268432</v>
      </c>
      <c r="G1963" s="166">
        <v>65.580034031119098</v>
      </c>
    </row>
    <row r="1964" spans="1:7" x14ac:dyDescent="0.25">
      <c r="A1964">
        <v>39</v>
      </c>
      <c r="B1964">
        <v>0.01</v>
      </c>
      <c r="C1964">
        <v>0.17</v>
      </c>
      <c r="D1964">
        <v>2.6027387672304831</v>
      </c>
      <c r="E1964">
        <v>1.069494513754603</v>
      </c>
      <c r="F1964">
        <v>0.33142788618690305</v>
      </c>
      <c r="G1964" s="166">
        <v>65.215835113842729</v>
      </c>
    </row>
    <row r="1965" spans="1:7" x14ac:dyDescent="0.25">
      <c r="A1965">
        <v>38</v>
      </c>
      <c r="B1965">
        <v>0.01</v>
      </c>
      <c r="C1965">
        <v>0.17</v>
      </c>
      <c r="D1965">
        <v>2.5847479081582656</v>
      </c>
      <c r="E1965">
        <v>1.0621018682391474</v>
      </c>
      <c r="F1965">
        <v>0.32913696384461355</v>
      </c>
      <c r="G1965" s="166">
        <v>64.844546115694072</v>
      </c>
    </row>
    <row r="1966" spans="1:7" x14ac:dyDescent="0.25">
      <c r="A1966">
        <v>37</v>
      </c>
      <c r="B1966">
        <v>0.01</v>
      </c>
      <c r="C1966">
        <v>0.17</v>
      </c>
      <c r="D1966">
        <v>2.5655806689955543</v>
      </c>
      <c r="E1966">
        <v>1.0542258349674123</v>
      </c>
      <c r="F1966">
        <v>0.32669624346202369</v>
      </c>
      <c r="G1966" s="166">
        <v>64.463944513434043</v>
      </c>
    </row>
    <row r="1967" spans="1:7" x14ac:dyDescent="0.25">
      <c r="A1967">
        <v>36</v>
      </c>
      <c r="B1967">
        <v>0.01</v>
      </c>
      <c r="C1967">
        <v>0.17</v>
      </c>
      <c r="D1967">
        <v>2.5454705737434167</v>
      </c>
      <c r="E1967">
        <v>1.0459623715672304</v>
      </c>
      <c r="F1967">
        <v>0.32413546154862194</v>
      </c>
      <c r="G1967" s="166">
        <v>64.074150276837727</v>
      </c>
    </row>
    <row r="1968" spans="1:7" x14ac:dyDescent="0.25">
      <c r="A1968">
        <v>35</v>
      </c>
      <c r="B1968">
        <v>0.01</v>
      </c>
      <c r="C1968">
        <v>0.17</v>
      </c>
      <c r="D1968">
        <v>2.5241397411017732</v>
      </c>
      <c r="E1968">
        <v>1.0371972934997413</v>
      </c>
      <c r="F1968">
        <v>0.32141923321943427</v>
      </c>
      <c r="G1968" s="166">
        <v>63.675756493194157</v>
      </c>
    </row>
    <row r="1969" spans="1:7" x14ac:dyDescent="0.25">
      <c r="A1969">
        <v>34</v>
      </c>
      <c r="B1969">
        <v>0.01</v>
      </c>
      <c r="C1969">
        <v>0.17</v>
      </c>
      <c r="D1969">
        <v>2.5015928447952822</v>
      </c>
      <c r="E1969">
        <v>1.0279325212507597</v>
      </c>
      <c r="F1969">
        <v>0.31854815361781635</v>
      </c>
      <c r="G1969" s="166">
        <v>63.257916251323714</v>
      </c>
    </row>
    <row r="1970" spans="1:7" x14ac:dyDescent="0.25">
      <c r="A1970">
        <v>33</v>
      </c>
      <c r="B1970">
        <v>0.01</v>
      </c>
      <c r="C1970">
        <v>0.17</v>
      </c>
      <c r="D1970">
        <v>2.4732281660938717</v>
      </c>
      <c r="E1970">
        <v>1.0162771570484388</v>
      </c>
      <c r="F1970">
        <v>0.31493624848821228</v>
      </c>
      <c r="G1970" s="166">
        <v>62.762196149915923</v>
      </c>
    </row>
    <row r="1971" spans="1:7" x14ac:dyDescent="0.25">
      <c r="A1971">
        <v>32</v>
      </c>
      <c r="B1971">
        <v>0.01</v>
      </c>
      <c r="C1971">
        <v>0.17</v>
      </c>
      <c r="D1971">
        <v>2.4358163985166397</v>
      </c>
      <c r="E1971">
        <v>1.0009042426870458</v>
      </c>
      <c r="F1971">
        <v>0.31017230398377338</v>
      </c>
      <c r="G1971" s="166">
        <v>62.293931747977958</v>
      </c>
    </row>
    <row r="1972" spans="1:7" x14ac:dyDescent="0.25">
      <c r="A1972">
        <v>31</v>
      </c>
      <c r="B1972">
        <v>0.01</v>
      </c>
      <c r="C1972">
        <v>0.17</v>
      </c>
      <c r="D1972">
        <v>2.3907852457602403</v>
      </c>
      <c r="E1972">
        <v>0.98240043760780571</v>
      </c>
      <c r="F1972">
        <v>0.30443812122270675</v>
      </c>
      <c r="G1972" s="166">
        <v>61.902913154953289</v>
      </c>
    </row>
    <row r="1973" spans="1:7" x14ac:dyDescent="0.25">
      <c r="A1973">
        <v>30</v>
      </c>
      <c r="B1973">
        <v>0.01</v>
      </c>
      <c r="C1973">
        <v>0.17</v>
      </c>
      <c r="D1973">
        <v>2.3383024934935257</v>
      </c>
      <c r="E1973">
        <v>0.96083468682148299</v>
      </c>
      <c r="F1973">
        <v>0.29775506571824017</v>
      </c>
      <c r="G1973" s="166">
        <v>61.60687554507971</v>
      </c>
    </row>
    <row r="1974" spans="1:7" x14ac:dyDescent="0.25">
      <c r="A1974">
        <v>29</v>
      </c>
      <c r="B1974">
        <v>0.01</v>
      </c>
      <c r="C1974">
        <v>0.17</v>
      </c>
      <c r="D1974">
        <v>2.2783580379403134</v>
      </c>
      <c r="E1974">
        <v>0.93620283857326814</v>
      </c>
      <c r="F1974">
        <v>0.29012185087441383</v>
      </c>
      <c r="G1974" s="166">
        <v>61.425117163715562</v>
      </c>
    </row>
    <row r="1975" spans="1:7" x14ac:dyDescent="0.25">
      <c r="A1975">
        <v>28</v>
      </c>
      <c r="B1975">
        <v>0.01</v>
      </c>
      <c r="C1975">
        <v>0.17</v>
      </c>
      <c r="D1975">
        <v>2.2107109944511696</v>
      </c>
      <c r="E1975">
        <v>0.90840591066246501</v>
      </c>
      <c r="F1975">
        <v>0.28150780289054445</v>
      </c>
      <c r="G1975" s="166">
        <v>61.382879492700951</v>
      </c>
    </row>
    <row r="1976" spans="1:7" x14ac:dyDescent="0.25">
      <c r="A1976">
        <v>27</v>
      </c>
      <c r="B1976">
        <v>0.01</v>
      </c>
      <c r="C1976">
        <v>0.17</v>
      </c>
      <c r="D1976">
        <v>2.1357935613221946</v>
      </c>
      <c r="E1976">
        <v>0.87762149821016411</v>
      </c>
      <c r="F1976">
        <v>0.27196795708922894</v>
      </c>
      <c r="G1976" s="166">
        <v>61.453857297898381</v>
      </c>
    </row>
    <row r="1977" spans="1:7" x14ac:dyDescent="0.25">
      <c r="A1977">
        <v>26</v>
      </c>
      <c r="B1977">
        <v>0.01</v>
      </c>
      <c r="C1977">
        <v>0.17</v>
      </c>
      <c r="D1977">
        <v>2.0591275214319431</v>
      </c>
      <c r="E1977">
        <v>0.84611856365282345</v>
      </c>
      <c r="F1977">
        <v>0.26220544697370773</v>
      </c>
      <c r="G1977" s="166">
        <v>61.382036793825861</v>
      </c>
    </row>
    <row r="1978" spans="1:7" x14ac:dyDescent="0.25">
      <c r="A1978">
        <v>25</v>
      </c>
      <c r="B1978">
        <v>0.01</v>
      </c>
      <c r="C1978">
        <v>0.17</v>
      </c>
      <c r="D1978">
        <v>1.9824614815416897</v>
      </c>
      <c r="E1978">
        <v>0.81461562909548202</v>
      </c>
      <c r="F1978">
        <v>0.25244293685818625</v>
      </c>
      <c r="G1978" s="166">
        <v>61.304661383712229</v>
      </c>
    </row>
    <row r="1979" spans="1:7" x14ac:dyDescent="0.25">
      <c r="A1979">
        <v>24</v>
      </c>
      <c r="B1979">
        <v>0.01</v>
      </c>
      <c r="C1979">
        <v>0.17</v>
      </c>
      <c r="D1979">
        <v>1.9057521125656656</v>
      </c>
      <c r="E1979">
        <v>0.78309489013145128</v>
      </c>
      <c r="F1979">
        <v>0.24267490929792995</v>
      </c>
      <c r="G1979" s="166">
        <v>61.222414267833891</v>
      </c>
    </row>
    <row r="1980" spans="1:7" x14ac:dyDescent="0.25">
      <c r="A1980">
        <v>23</v>
      </c>
      <c r="B1980">
        <v>0.01</v>
      </c>
      <c r="C1980">
        <v>0.17</v>
      </c>
      <c r="D1980">
        <v>1.8290062469137411</v>
      </c>
      <c r="E1980">
        <v>0.75155915427447939</v>
      </c>
      <c r="F1980">
        <v>0.23290223431923165</v>
      </c>
      <c r="G1980" s="166">
        <v>61.134454558205071</v>
      </c>
    </row>
    <row r="1981" spans="1:7" x14ac:dyDescent="0.25">
      <c r="A1981">
        <v>22</v>
      </c>
      <c r="B1981">
        <v>0.01</v>
      </c>
      <c r="C1981">
        <v>0.17</v>
      </c>
      <c r="D1981">
        <v>1.7522603812618165</v>
      </c>
      <c r="E1981">
        <v>0.7200234184175075</v>
      </c>
      <c r="F1981">
        <v>0.22312955934053336</v>
      </c>
      <c r="G1981" s="166">
        <v>61.038789893159667</v>
      </c>
    </row>
    <row r="1982" spans="1:7" x14ac:dyDescent="0.25">
      <c r="A1982">
        <v>21</v>
      </c>
      <c r="B1982">
        <v>0.01</v>
      </c>
      <c r="C1982">
        <v>0.17</v>
      </c>
      <c r="D1982">
        <v>1.675514515609893</v>
      </c>
      <c r="E1982">
        <v>0.68848768256053605</v>
      </c>
      <c r="F1982">
        <v>0.21335688436183517</v>
      </c>
      <c r="G1982" s="166">
        <v>60.934361511103319</v>
      </c>
    </row>
    <row r="1983" spans="1:7" x14ac:dyDescent="0.25">
      <c r="A1983">
        <v>20</v>
      </c>
      <c r="B1983">
        <v>0.01</v>
      </c>
      <c r="C1983">
        <v>0.17</v>
      </c>
      <c r="D1983">
        <v>1.5987686499579685</v>
      </c>
      <c r="E1983">
        <v>0.65695194670356427</v>
      </c>
      <c r="F1983">
        <v>0.2035842093831369</v>
      </c>
      <c r="G1983" s="166">
        <v>60.819907355049331</v>
      </c>
    </row>
    <row r="1984" spans="1:7" x14ac:dyDescent="0.25">
      <c r="A1984">
        <v>19</v>
      </c>
      <c r="B1984">
        <v>0.01</v>
      </c>
      <c r="C1984">
        <v>0.17</v>
      </c>
      <c r="D1984">
        <v>1.5220227843060441</v>
      </c>
      <c r="E1984">
        <v>0.62541621084659238</v>
      </c>
      <c r="F1984">
        <v>0.1938115344044386</v>
      </c>
      <c r="G1984" s="166">
        <v>60.693910818192123</v>
      </c>
    </row>
    <row r="1985" spans="1:7" x14ac:dyDescent="0.25">
      <c r="A1985">
        <v>18</v>
      </c>
      <c r="B1985">
        <v>0.01</v>
      </c>
      <c r="C1985">
        <v>0.17</v>
      </c>
      <c r="D1985">
        <v>1.4452769186541194</v>
      </c>
      <c r="E1985">
        <v>0.59388047498962049</v>
      </c>
      <c r="F1985">
        <v>0.1840388594257403</v>
      </c>
      <c r="G1985" s="166">
        <v>60.554533159467574</v>
      </c>
    </row>
    <row r="1986" spans="1:7" x14ac:dyDescent="0.25">
      <c r="A1986">
        <v>17</v>
      </c>
      <c r="B1986">
        <v>0.01</v>
      </c>
      <c r="C1986">
        <v>0.17</v>
      </c>
      <c r="D1986">
        <v>1.3685310530021952</v>
      </c>
      <c r="E1986">
        <v>0.56234473913264871</v>
      </c>
      <c r="F1986">
        <v>0.17426618444704203</v>
      </c>
      <c r="G1986" s="166">
        <v>60.399523178702758</v>
      </c>
    </row>
    <row r="1987" spans="1:7" x14ac:dyDescent="0.25">
      <c r="A1987">
        <v>16</v>
      </c>
      <c r="B1987">
        <v>0.01</v>
      </c>
      <c r="C1987">
        <v>0.17</v>
      </c>
      <c r="D1987">
        <v>1.2917851873502715</v>
      </c>
      <c r="E1987">
        <v>0.53080900327567715</v>
      </c>
      <c r="F1987">
        <v>0.16449350946834382</v>
      </c>
      <c r="G1987" s="166">
        <v>60.226094694188198</v>
      </c>
    </row>
    <row r="1988" spans="1:7" x14ac:dyDescent="0.25">
      <c r="A1988">
        <v>15</v>
      </c>
      <c r="B1988">
        <v>0.01</v>
      </c>
      <c r="C1988">
        <v>0.17</v>
      </c>
      <c r="D1988">
        <v>1.2150393216983464</v>
      </c>
      <c r="E1988">
        <v>0.49927326741870498</v>
      </c>
      <c r="F1988">
        <v>0.15472083448964546</v>
      </c>
      <c r="G1988" s="166">
        <v>60.030757586742659</v>
      </c>
    </row>
    <row r="1989" spans="1:7" x14ac:dyDescent="0.25">
      <c r="A1989">
        <v>14</v>
      </c>
      <c r="B1989">
        <v>0.01</v>
      </c>
      <c r="C1989">
        <v>0.17</v>
      </c>
      <c r="D1989">
        <v>1.1382934560464224</v>
      </c>
      <c r="E1989">
        <v>0.46773753156173337</v>
      </c>
      <c r="F1989">
        <v>0.14494815951094722</v>
      </c>
      <c r="G1989" s="166">
        <v>59.809080495832802</v>
      </c>
    </row>
    <row r="1990" spans="1:7" x14ac:dyDescent="0.25">
      <c r="A1990">
        <v>13</v>
      </c>
      <c r="B1990">
        <v>0.01</v>
      </c>
      <c r="C1990">
        <v>0.17</v>
      </c>
      <c r="D1990">
        <v>1.0615475903944975</v>
      </c>
      <c r="E1990">
        <v>0.43620179570476142</v>
      </c>
      <c r="F1990">
        <v>0.1351754845322489</v>
      </c>
      <c r="G1990" s="166">
        <v>59.555350578670023</v>
      </c>
    </row>
    <row r="1991" spans="1:7" x14ac:dyDescent="0.25">
      <c r="A1991">
        <v>12</v>
      </c>
      <c r="B1991">
        <v>0.01</v>
      </c>
      <c r="C1991">
        <v>0.17</v>
      </c>
      <c r="D1991">
        <v>0.98474615144453403</v>
      </c>
      <c r="E1991">
        <v>0.40464322415712695</v>
      </c>
      <c r="F1991">
        <v>0.12539573295372838</v>
      </c>
      <c r="G1991" s="166">
        <v>59.265329640144557</v>
      </c>
    </row>
    <row r="1992" spans="1:7" x14ac:dyDescent="0.25">
      <c r="A1992">
        <v>11</v>
      </c>
      <c r="B1992">
        <v>0.01</v>
      </c>
      <c r="C1992">
        <v>0.17</v>
      </c>
      <c r="D1992">
        <v>0.90784219836525248</v>
      </c>
      <c r="E1992">
        <v>0.37304252840545471</v>
      </c>
      <c r="F1992">
        <v>0.11560292741773354</v>
      </c>
      <c r="G1992" s="166">
        <v>58.932720005827477</v>
      </c>
    </row>
    <row r="1993" spans="1:7" x14ac:dyDescent="0.25">
      <c r="A1993">
        <v>10</v>
      </c>
      <c r="B1993">
        <v>0.01</v>
      </c>
      <c r="C1993">
        <v>0.17</v>
      </c>
      <c r="D1993">
        <v>0.83093824528597127</v>
      </c>
      <c r="E1993">
        <v>0.34144183265378253</v>
      </c>
      <c r="F1993">
        <v>0.10581012188173873</v>
      </c>
      <c r="G1993" s="166">
        <v>58.538543833066996</v>
      </c>
    </row>
    <row r="1994" spans="1:7" x14ac:dyDescent="0.25">
      <c r="A1994">
        <v>9</v>
      </c>
      <c r="B1994">
        <v>0.01</v>
      </c>
      <c r="C1994">
        <v>0.17</v>
      </c>
      <c r="D1994">
        <v>0.75403429220668938</v>
      </c>
      <c r="E1994">
        <v>0.30984113690211013</v>
      </c>
      <c r="F1994">
        <v>9.6017316345743842E-2</v>
      </c>
      <c r="G1994" s="166">
        <v>58.063963609169249</v>
      </c>
    </row>
    <row r="1995" spans="1:7" x14ac:dyDescent="0.25">
      <c r="A1995">
        <v>8</v>
      </c>
      <c r="B1995">
        <v>0.01</v>
      </c>
      <c r="C1995">
        <v>0.17</v>
      </c>
      <c r="D1995">
        <v>0.67706972133217969</v>
      </c>
      <c r="E1995">
        <v>0.27821553261937487</v>
      </c>
      <c r="F1995">
        <v>8.621679185309046E-2</v>
      </c>
      <c r="G1995" s="166">
        <v>57.486598474974038</v>
      </c>
    </row>
    <row r="1996" spans="1:7" x14ac:dyDescent="0.25">
      <c r="A1996">
        <v>7</v>
      </c>
      <c r="B1996">
        <v>0.01</v>
      </c>
      <c r="C1996">
        <v>0.17</v>
      </c>
      <c r="D1996">
        <v>0.59992946183697105</v>
      </c>
      <c r="E1996">
        <v>0.24651773591443718</v>
      </c>
      <c r="F1996">
        <v>7.6393895500103476E-2</v>
      </c>
      <c r="G1996" s="166">
        <v>56.777328104447598</v>
      </c>
    </row>
    <row r="1997" spans="1:7" x14ac:dyDescent="0.25">
      <c r="A1997">
        <v>6</v>
      </c>
      <c r="B1997">
        <v>0.01</v>
      </c>
      <c r="C1997">
        <v>0.17</v>
      </c>
      <c r="D1997">
        <v>0.52272655772768739</v>
      </c>
      <c r="E1997">
        <v>0.21479419783586912</v>
      </c>
      <c r="F1997">
        <v>6.6563022099137142E-2</v>
      </c>
      <c r="G1997" s="166">
        <v>55.86527389214055</v>
      </c>
    </row>
    <row r="1998" spans="1:7" x14ac:dyDescent="0.25">
      <c r="A1998">
        <v>5</v>
      </c>
      <c r="B1998">
        <v>0.01</v>
      </c>
      <c r="C1998">
        <v>0.17</v>
      </c>
      <c r="D1998">
        <v>0.44527184034339962</v>
      </c>
      <c r="E1998">
        <v>0.18296718686194238</v>
      </c>
      <c r="F1998">
        <v>5.670008326674942E-2</v>
      </c>
      <c r="G1998" s="166">
        <v>54.667247721712577</v>
      </c>
    </row>
    <row r="1999" spans="1:7" x14ac:dyDescent="0.25">
      <c r="A1999">
        <v>4</v>
      </c>
      <c r="B1999">
        <v>0.01</v>
      </c>
      <c r="C1999">
        <v>0.17</v>
      </c>
      <c r="D1999">
        <v>0.36737596600774741</v>
      </c>
      <c r="E1999">
        <v>0.1509588995551277</v>
      </c>
      <c r="F1999">
        <v>4.6780968333360623E-2</v>
      </c>
      <c r="G1999" s="166">
        <v>53.026733036819202</v>
      </c>
    </row>
    <row r="2000" spans="1:7" x14ac:dyDescent="0.25">
      <c r="A2000">
        <v>3</v>
      </c>
      <c r="B2000">
        <v>0.01</v>
      </c>
      <c r="C2000">
        <v>0.17</v>
      </c>
      <c r="D2000">
        <v>0.2887345643722205</v>
      </c>
      <c r="E2000">
        <v>0.11864426672985026</v>
      </c>
      <c r="F2000">
        <v>3.6766919348117266E-2</v>
      </c>
      <c r="G2000" s="166">
        <v>50.630550507826904</v>
      </c>
    </row>
    <row r="2001" spans="1:7" x14ac:dyDescent="0.25">
      <c r="A2001">
        <v>2</v>
      </c>
      <c r="B2001">
        <v>0.01</v>
      </c>
      <c r="C2001">
        <v>0.17</v>
      </c>
      <c r="D2001">
        <v>0.20818713387410437</v>
      </c>
      <c r="E2001">
        <v>8.5546425294756714E-2</v>
      </c>
      <c r="F2001">
        <v>2.6510160212745652E-2</v>
      </c>
      <c r="G2001" s="166">
        <v>46.856122469027433</v>
      </c>
    </row>
    <row r="2002" spans="1:7" x14ac:dyDescent="0.25">
      <c r="A2002">
        <v>1</v>
      </c>
      <c r="B2002">
        <v>0.01</v>
      </c>
      <c r="C2002">
        <v>0.17</v>
      </c>
      <c r="D2002">
        <v>0.11444021945382614</v>
      </c>
      <c r="E2002">
        <v>4.7024768063441011E-2</v>
      </c>
      <c r="F2002">
        <v>1.4572603484408069E-2</v>
      </c>
      <c r="G2002" s="166">
        <v>42.676151087388305</v>
      </c>
    </row>
    <row r="2003" spans="1:7" x14ac:dyDescent="0.25">
      <c r="A2003">
        <v>50</v>
      </c>
      <c r="B2003">
        <v>5.0000000000000001E-3</v>
      </c>
      <c r="C2003">
        <v>0.17</v>
      </c>
      <c r="D2003">
        <v>2.7463694783487882</v>
      </c>
      <c r="E2003">
        <v>1.128513981817145</v>
      </c>
      <c r="F2003">
        <v>0.34971755227894624</v>
      </c>
      <c r="G2003" s="166">
        <v>68.569171021495634</v>
      </c>
    </row>
    <row r="2004" spans="1:7" x14ac:dyDescent="0.25">
      <c r="A2004">
        <v>49</v>
      </c>
      <c r="B2004">
        <v>5.0000000000000001E-3</v>
      </c>
      <c r="C2004">
        <v>0.17</v>
      </c>
      <c r="D2004">
        <v>2.7347798487703865</v>
      </c>
      <c r="E2004">
        <v>1.1237516732033852</v>
      </c>
      <c r="F2004">
        <v>0.34824175052687639</v>
      </c>
      <c r="G2004" s="166">
        <v>68.281568651611053</v>
      </c>
    </row>
    <row r="2005" spans="1:7" x14ac:dyDescent="0.25">
      <c r="A2005">
        <v>48</v>
      </c>
      <c r="B2005">
        <v>5.0000000000000001E-3</v>
      </c>
      <c r="C2005">
        <v>0.17</v>
      </c>
      <c r="D2005">
        <v>2.722636645539581</v>
      </c>
      <c r="E2005">
        <v>1.1187618949750564</v>
      </c>
      <c r="F2005">
        <v>0.34669545774137095</v>
      </c>
      <c r="G2005" s="166">
        <v>67.9857732085283</v>
      </c>
    </row>
    <row r="2006" spans="1:7" x14ac:dyDescent="0.25">
      <c r="A2006">
        <v>47</v>
      </c>
      <c r="B2006">
        <v>5.0000000000000001E-3</v>
      </c>
      <c r="C2006">
        <v>0.17</v>
      </c>
      <c r="D2006">
        <v>2.7104934423087754</v>
      </c>
      <c r="E2006">
        <v>1.1137721167467276</v>
      </c>
      <c r="F2006">
        <v>0.34514916495586545</v>
      </c>
      <c r="G2006" s="166">
        <v>67.687327396236682</v>
      </c>
    </row>
    <row r="2007" spans="1:7" x14ac:dyDescent="0.25">
      <c r="A2007">
        <v>46</v>
      </c>
      <c r="B2007">
        <v>5.0000000000000001E-3</v>
      </c>
      <c r="C2007">
        <v>0.17</v>
      </c>
      <c r="D2007">
        <v>2.6976678815141644</v>
      </c>
      <c r="E2007">
        <v>1.1085019501520761</v>
      </c>
      <c r="F2007">
        <v>0.34351598203453726</v>
      </c>
      <c r="G2007" s="166">
        <v>67.380487854529477</v>
      </c>
    </row>
    <row r="2008" spans="1:7" x14ac:dyDescent="0.25">
      <c r="A2008">
        <v>45</v>
      </c>
      <c r="B2008">
        <v>5.0000000000000001E-3</v>
      </c>
      <c r="C2008">
        <v>0.17</v>
      </c>
      <c r="D2008">
        <v>2.6838091921727711</v>
      </c>
      <c r="E2008">
        <v>1.1028072594650731</v>
      </c>
      <c r="F2008">
        <v>0.34175124245653254</v>
      </c>
      <c r="G2008" s="166">
        <v>67.061909083868557</v>
      </c>
    </row>
    <row r="2009" spans="1:7" x14ac:dyDescent="0.25">
      <c r="A2009">
        <v>44</v>
      </c>
      <c r="B2009">
        <v>5.0000000000000001E-3</v>
      </c>
      <c r="C2009">
        <v>0.17</v>
      </c>
      <c r="D2009">
        <v>2.6699505028313779</v>
      </c>
      <c r="E2009">
        <v>1.0971125687780698</v>
      </c>
      <c r="F2009">
        <v>0.33998650287852783</v>
      </c>
      <c r="G2009" s="166">
        <v>66.740023072711139</v>
      </c>
    </row>
    <row r="2010" spans="1:7" x14ac:dyDescent="0.25">
      <c r="A2010">
        <v>43</v>
      </c>
      <c r="B2010">
        <v>5.0000000000000001E-3</v>
      </c>
      <c r="C2010">
        <v>0.17</v>
      </c>
      <c r="D2010">
        <v>2.6550983200719518</v>
      </c>
      <c r="E2010">
        <v>1.0910096405170868</v>
      </c>
      <c r="F2010">
        <v>0.33809525370700377</v>
      </c>
      <c r="G2010" s="166">
        <v>66.408173185882092</v>
      </c>
    </row>
    <row r="2011" spans="1:7" x14ac:dyDescent="0.25">
      <c r="A2011">
        <v>42</v>
      </c>
      <c r="B2011">
        <v>5.0000000000000001E-3</v>
      </c>
      <c r="C2011">
        <v>0.17</v>
      </c>
      <c r="D2011">
        <v>2.6394116250265101</v>
      </c>
      <c r="E2011">
        <v>1.0845638018100801</v>
      </c>
      <c r="F2011">
        <v>0.3360977393019367</v>
      </c>
      <c r="G2011" s="166">
        <v>66.066900682982947</v>
      </c>
    </row>
    <row r="2012" spans="1:7" x14ac:dyDescent="0.25">
      <c r="A2012">
        <v>41</v>
      </c>
      <c r="B2012">
        <v>5.0000000000000001E-3</v>
      </c>
      <c r="C2012">
        <v>0.17</v>
      </c>
      <c r="D2012">
        <v>2.6236837844057743</v>
      </c>
      <c r="E2012">
        <v>1.0781010559252973</v>
      </c>
      <c r="F2012">
        <v>0.3340949854962747</v>
      </c>
      <c r="G2012" s="166">
        <v>65.721345948296999</v>
      </c>
    </row>
    <row r="2013" spans="1:7" x14ac:dyDescent="0.25">
      <c r="A2013">
        <v>40</v>
      </c>
      <c r="B2013">
        <v>5.0000000000000001E-3</v>
      </c>
      <c r="C2013">
        <v>0.17</v>
      </c>
      <c r="D2013">
        <v>2.6060566118966677</v>
      </c>
      <c r="E2013">
        <v>1.07085785329242</v>
      </c>
      <c r="F2013">
        <v>0.33185037432065467</v>
      </c>
      <c r="G2013" s="166">
        <v>65.362006681515226</v>
      </c>
    </row>
    <row r="2014" spans="1:7" x14ac:dyDescent="0.25">
      <c r="A2014">
        <v>39</v>
      </c>
      <c r="B2014">
        <v>5.0000000000000001E-3</v>
      </c>
      <c r="C2014">
        <v>0.17</v>
      </c>
      <c r="D2014">
        <v>2.5884294393875615</v>
      </c>
      <c r="E2014">
        <v>1.063614650659543</v>
      </c>
      <c r="F2014">
        <v>0.32960576314503465</v>
      </c>
      <c r="G2014" s="166">
        <v>64.997773222797264</v>
      </c>
    </row>
    <row r="2015" spans="1:7" x14ac:dyDescent="0.25">
      <c r="A2015">
        <v>38</v>
      </c>
      <c r="B2015">
        <v>5.0000000000000001E-3</v>
      </c>
      <c r="C2015">
        <v>0.17</v>
      </c>
      <c r="D2015">
        <v>2.5691869044342495</v>
      </c>
      <c r="E2015">
        <v>1.0557076775040324</v>
      </c>
      <c r="F2015">
        <v>0.32715545473731078</v>
      </c>
      <c r="G2015" s="166">
        <v>64.621942007179697</v>
      </c>
    </row>
    <row r="2016" spans="1:7" x14ac:dyDescent="0.25">
      <c r="A2016">
        <v>37</v>
      </c>
      <c r="B2016">
        <v>5.0000000000000001E-3</v>
      </c>
      <c r="C2016">
        <v>0.17</v>
      </c>
      <c r="D2016">
        <v>2.5494784675486808</v>
      </c>
      <c r="E2016">
        <v>1.0476092600258067</v>
      </c>
      <c r="F2016">
        <v>0.32464581924900454</v>
      </c>
      <c r="G2016" s="166">
        <v>64.238477870855647</v>
      </c>
    </row>
    <row r="2017" spans="1:7" x14ac:dyDescent="0.25">
      <c r="A2017">
        <v>36</v>
      </c>
      <c r="B2017">
        <v>5.0000000000000001E-3</v>
      </c>
      <c r="C2017">
        <v>0.17</v>
      </c>
      <c r="D2017">
        <v>2.5279010079801272</v>
      </c>
      <c r="E2017">
        <v>1.0387428401914853</v>
      </c>
      <c r="F2017">
        <v>0.32189818590826064</v>
      </c>
      <c r="G2017" s="166">
        <v>63.835812335051521</v>
      </c>
    </row>
    <row r="2018" spans="1:7" x14ac:dyDescent="0.25">
      <c r="A2018">
        <v>35</v>
      </c>
      <c r="B2018">
        <v>5.0000000000000001E-3</v>
      </c>
      <c r="C2018">
        <v>0.17</v>
      </c>
      <c r="D2018">
        <v>2.5054783397546316</v>
      </c>
      <c r="E2018">
        <v>1.0295291146525121</v>
      </c>
      <c r="F2018">
        <v>0.31904292527810763</v>
      </c>
      <c r="G2018" s="166">
        <v>63.423742078831516</v>
      </c>
    </row>
    <row r="2019" spans="1:7" x14ac:dyDescent="0.25">
      <c r="A2019">
        <v>34</v>
      </c>
      <c r="B2019">
        <v>5.0000000000000001E-3</v>
      </c>
      <c r="C2019">
        <v>0.17</v>
      </c>
      <c r="D2019">
        <v>2.4723208764257278</v>
      </c>
      <c r="E2019">
        <v>1.0159043415608906</v>
      </c>
      <c r="F2019">
        <v>0.31482071591895944</v>
      </c>
      <c r="G2019" s="166">
        <v>62.956228728001875</v>
      </c>
    </row>
    <row r="2020" spans="1:7" x14ac:dyDescent="0.25">
      <c r="A2020">
        <v>33</v>
      </c>
      <c r="B2020">
        <v>5.0000000000000001E-3</v>
      </c>
      <c r="C2020">
        <v>0.17</v>
      </c>
      <c r="D2020">
        <v>2.4302709811177694</v>
      </c>
      <c r="E2020">
        <v>0.9986255685614509</v>
      </c>
      <c r="F2020">
        <v>0.30946616090492446</v>
      </c>
      <c r="G2020" s="166">
        <v>62.567247723892898</v>
      </c>
    </row>
    <row r="2021" spans="1:7" x14ac:dyDescent="0.25">
      <c r="A2021">
        <v>32</v>
      </c>
      <c r="B2021">
        <v>5.0000000000000001E-3</v>
      </c>
      <c r="C2021">
        <v>0.17</v>
      </c>
      <c r="D2021">
        <v>2.380628885053496</v>
      </c>
      <c r="E2021">
        <v>0.97822707522801755</v>
      </c>
      <c r="F2021">
        <v>0.30314482924781916</v>
      </c>
      <c r="G2021" s="166">
        <v>62.273771731684434</v>
      </c>
    </row>
    <row r="2022" spans="1:7" x14ac:dyDescent="0.25">
      <c r="A2022">
        <v>31</v>
      </c>
      <c r="B2022">
        <v>5.0000000000000001E-3</v>
      </c>
      <c r="C2022">
        <v>0.17</v>
      </c>
      <c r="D2022">
        <v>2.323903448614657</v>
      </c>
      <c r="E2022">
        <v>0.95491795799139645</v>
      </c>
      <c r="F2022">
        <v>0.29592151827683028</v>
      </c>
      <c r="G2022" s="166">
        <v>62.087358495631001</v>
      </c>
    </row>
    <row r="2023" spans="1:7" x14ac:dyDescent="0.25">
      <c r="A2023">
        <v>30</v>
      </c>
      <c r="B2023">
        <v>5.0000000000000001E-3</v>
      </c>
      <c r="C2023">
        <v>0.17</v>
      </c>
      <c r="D2023">
        <v>2.2604246483904311</v>
      </c>
      <c r="E2023">
        <v>0.92883380792827885</v>
      </c>
      <c r="F2023">
        <v>0.28783824659360152</v>
      </c>
      <c r="G2023" s="166">
        <v>62.020035625200613</v>
      </c>
    </row>
    <row r="2024" spans="1:7" x14ac:dyDescent="0.25">
      <c r="A2024">
        <v>29</v>
      </c>
      <c r="B2024">
        <v>5.0000000000000001E-3</v>
      </c>
      <c r="C2024">
        <v>0.17</v>
      </c>
      <c r="D2024">
        <v>2.1900186457834212</v>
      </c>
      <c r="E2024">
        <v>0.89990319281175946</v>
      </c>
      <c r="F2024">
        <v>0.27887287791630605</v>
      </c>
      <c r="G2024" s="166">
        <v>62.089097196789034</v>
      </c>
    </row>
    <row r="2025" spans="1:7" x14ac:dyDescent="0.25">
      <c r="A2025">
        <v>28</v>
      </c>
      <c r="B2025">
        <v>5.0000000000000001E-3</v>
      </c>
      <c r="C2025">
        <v>0.17</v>
      </c>
      <c r="D2025">
        <v>2.1167577842591467</v>
      </c>
      <c r="E2025">
        <v>0.86979948418773945</v>
      </c>
      <c r="F2025">
        <v>0.26954397684450992</v>
      </c>
      <c r="G2025" s="166">
        <v>62.045379038937256</v>
      </c>
    </row>
    <row r="2026" spans="1:7" x14ac:dyDescent="0.25">
      <c r="A2026">
        <v>27</v>
      </c>
      <c r="B2026">
        <v>5.0000000000000001E-3</v>
      </c>
      <c r="C2026">
        <v>0.17</v>
      </c>
      <c r="D2026">
        <v>2.0434969227348723</v>
      </c>
      <c r="E2026">
        <v>0.83969577556371955</v>
      </c>
      <c r="F2026">
        <v>0.26021507577271386</v>
      </c>
      <c r="G2026" s="166">
        <v>61.974834950141329</v>
      </c>
    </row>
    <row r="2027" spans="1:7" x14ac:dyDescent="0.25">
      <c r="A2027">
        <v>26</v>
      </c>
      <c r="B2027">
        <v>5.0000000000000001E-3</v>
      </c>
      <c r="C2027">
        <v>0.17</v>
      </c>
      <c r="D2027">
        <v>1.9702360612105969</v>
      </c>
      <c r="E2027">
        <v>0.80959206693969932</v>
      </c>
      <c r="F2027">
        <v>0.25088617470091762</v>
      </c>
      <c r="G2027" s="166">
        <v>61.899044666919927</v>
      </c>
    </row>
    <row r="2028" spans="1:7" x14ac:dyDescent="0.25">
      <c r="A2028">
        <v>25</v>
      </c>
      <c r="B2028">
        <v>5.0000000000000001E-3</v>
      </c>
      <c r="C2028">
        <v>0.17</v>
      </c>
      <c r="D2028">
        <v>1.8969751996863216</v>
      </c>
      <c r="E2028">
        <v>0.77948835831567898</v>
      </c>
      <c r="F2028">
        <v>0.24155727362912138</v>
      </c>
      <c r="G2028" s="166">
        <v>61.817400367847576</v>
      </c>
    </row>
    <row r="2029" spans="1:7" x14ac:dyDescent="0.25">
      <c r="A2029">
        <v>24</v>
      </c>
      <c r="B2029">
        <v>5.0000000000000001E-3</v>
      </c>
      <c r="C2029">
        <v>0.17</v>
      </c>
      <c r="D2029">
        <v>1.8236710356680392</v>
      </c>
      <c r="E2029">
        <v>0.74936685621182297</v>
      </c>
      <c r="F2029">
        <v>0.23222285849873581</v>
      </c>
      <c r="G2029" s="166">
        <v>61.730643026752247</v>
      </c>
    </row>
    <row r="2030" spans="1:7" x14ac:dyDescent="0.25">
      <c r="A2030">
        <v>23</v>
      </c>
      <c r="B2030">
        <v>5.0000000000000001E-3</v>
      </c>
      <c r="C2030">
        <v>0.17</v>
      </c>
      <c r="D2030">
        <v>1.7503303973724591</v>
      </c>
      <c r="E2030">
        <v>0.71923036641886273</v>
      </c>
      <c r="F2030">
        <v>0.2228837988021044</v>
      </c>
      <c r="G2030" s="166">
        <v>61.637886507165668</v>
      </c>
    </row>
    <row r="2031" spans="1:7" x14ac:dyDescent="0.25">
      <c r="A2031">
        <v>22</v>
      </c>
      <c r="B2031">
        <v>5.0000000000000001E-3</v>
      </c>
      <c r="C2031">
        <v>0.17</v>
      </c>
      <c r="D2031">
        <v>1.6769897590768785</v>
      </c>
      <c r="E2031">
        <v>0.68909387662590216</v>
      </c>
      <c r="F2031">
        <v>0.21354473910547292</v>
      </c>
      <c r="G2031" s="166">
        <v>61.537016852342902</v>
      </c>
    </row>
    <row r="2032" spans="1:7" x14ac:dyDescent="0.25">
      <c r="A2032">
        <v>21</v>
      </c>
      <c r="B2032">
        <v>5.0000000000000001E-3</v>
      </c>
      <c r="C2032">
        <v>0.17</v>
      </c>
      <c r="D2032">
        <v>1.603649120781298</v>
      </c>
      <c r="E2032">
        <v>0.65895738683294158</v>
      </c>
      <c r="F2032">
        <v>0.20420567940884143</v>
      </c>
      <c r="G2032" s="166">
        <v>61.426920933777666</v>
      </c>
    </row>
    <row r="2033" spans="1:7" x14ac:dyDescent="0.25">
      <c r="A2033">
        <v>20</v>
      </c>
      <c r="B2033">
        <v>5.0000000000000001E-3</v>
      </c>
      <c r="C2033">
        <v>0.17</v>
      </c>
      <c r="D2033">
        <v>1.530308482485718</v>
      </c>
      <c r="E2033">
        <v>0.62882089703998123</v>
      </c>
      <c r="F2033">
        <v>0.19486661971221003</v>
      </c>
      <c r="G2033" s="166">
        <v>61.30627223447086</v>
      </c>
    </row>
    <row r="2034" spans="1:7" x14ac:dyDescent="0.25">
      <c r="A2034">
        <v>19</v>
      </c>
      <c r="B2034">
        <v>5.0000000000000001E-3</v>
      </c>
      <c r="C2034">
        <v>0.17</v>
      </c>
      <c r="D2034">
        <v>1.456967844190137</v>
      </c>
      <c r="E2034">
        <v>0.59868440724702054</v>
      </c>
      <c r="F2034">
        <v>0.18552756001557852</v>
      </c>
      <c r="G2034" s="166">
        <v>61.173477141333912</v>
      </c>
    </row>
    <row r="2035" spans="1:7" x14ac:dyDescent="0.25">
      <c r="A2035">
        <v>18</v>
      </c>
      <c r="B2035">
        <v>5.0000000000000001E-3</v>
      </c>
      <c r="C2035">
        <v>0.17</v>
      </c>
      <c r="D2035">
        <v>1.3836272058945571</v>
      </c>
      <c r="E2035">
        <v>0.5685479174540603</v>
      </c>
      <c r="F2035">
        <v>0.17618850031894712</v>
      </c>
      <c r="G2035" s="166">
        <v>61.026604156620856</v>
      </c>
    </row>
    <row r="2036" spans="1:7" x14ac:dyDescent="0.25">
      <c r="A2036">
        <v>17</v>
      </c>
      <c r="B2036">
        <v>5.0000000000000001E-3</v>
      </c>
      <c r="C2036">
        <v>0.17</v>
      </c>
      <c r="D2036">
        <v>1.3102865675989777</v>
      </c>
      <c r="E2036">
        <v>0.53841142766110017</v>
      </c>
      <c r="F2036">
        <v>0.16684944062231577</v>
      </c>
      <c r="G2036" s="166">
        <v>60.863289335879479</v>
      </c>
    </row>
    <row r="2037" spans="1:7" x14ac:dyDescent="0.25">
      <c r="A2037">
        <v>16</v>
      </c>
      <c r="B2037">
        <v>5.0000000000000001E-3</v>
      </c>
      <c r="C2037">
        <v>0.17</v>
      </c>
      <c r="D2037">
        <v>1.2369459293033966</v>
      </c>
      <c r="E2037">
        <v>0.50827493786813949</v>
      </c>
      <c r="F2037">
        <v>0.15751038092568423</v>
      </c>
      <c r="G2037" s="166">
        <v>60.68060808543008</v>
      </c>
    </row>
    <row r="2038" spans="1:7" x14ac:dyDescent="0.25">
      <c r="A2038">
        <v>15</v>
      </c>
      <c r="B2038">
        <v>5.0000000000000001E-3</v>
      </c>
      <c r="C2038">
        <v>0.17</v>
      </c>
      <c r="D2038">
        <v>1.1636052910078158</v>
      </c>
      <c r="E2038">
        <v>0.47813844807517886</v>
      </c>
      <c r="F2038">
        <v>0.14817132122905274</v>
      </c>
      <c r="G2038" s="166">
        <v>60.474898477141259</v>
      </c>
    </row>
    <row r="2039" spans="1:7" x14ac:dyDescent="0.25">
      <c r="A2039">
        <v>14</v>
      </c>
      <c r="B2039">
        <v>5.0000000000000001E-3</v>
      </c>
      <c r="C2039">
        <v>0.17</v>
      </c>
      <c r="D2039">
        <v>1.0902646527122357</v>
      </c>
      <c r="E2039">
        <v>0.4480019582822185</v>
      </c>
      <c r="F2039">
        <v>0.13883226153242131</v>
      </c>
      <c r="G2039" s="166">
        <v>60.241513250940869</v>
      </c>
    </row>
    <row r="2040" spans="1:7" x14ac:dyDescent="0.25">
      <c r="A2040">
        <v>13</v>
      </c>
      <c r="B2040">
        <v>5.0000000000000001E-3</v>
      </c>
      <c r="C2040">
        <v>0.17</v>
      </c>
      <c r="D2040">
        <v>1.0169240144166554</v>
      </c>
      <c r="E2040">
        <v>0.41786546848925804</v>
      </c>
      <c r="F2040">
        <v>0.12949320183578986</v>
      </c>
      <c r="G2040" s="166">
        <v>59.974464503738659</v>
      </c>
    </row>
    <row r="2041" spans="1:7" x14ac:dyDescent="0.25">
      <c r="A2041">
        <v>12</v>
      </c>
      <c r="B2041">
        <v>5.0000000000000001E-3</v>
      </c>
      <c r="C2041">
        <v>0.17</v>
      </c>
      <c r="D2041">
        <v>0.94352369066275132</v>
      </c>
      <c r="E2041">
        <v>0.38770445327291214</v>
      </c>
      <c r="F2041">
        <v>0.12014654190453734</v>
      </c>
      <c r="G2041" s="166">
        <v>59.669629016564095</v>
      </c>
    </row>
    <row r="2042" spans="1:7" x14ac:dyDescent="0.25">
      <c r="A2042">
        <v>11</v>
      </c>
      <c r="B2042">
        <v>5.0000000000000001E-3</v>
      </c>
      <c r="C2042">
        <v>0.17</v>
      </c>
      <c r="D2042">
        <v>0.8700254585275895</v>
      </c>
      <c r="E2042">
        <v>0.35750320640599709</v>
      </c>
      <c r="F2042">
        <v>0.11078741450315342</v>
      </c>
      <c r="G2042" s="166">
        <v>59.319953413202263</v>
      </c>
    </row>
    <row r="2043" spans="1:7" x14ac:dyDescent="0.25">
      <c r="A2043">
        <v>10</v>
      </c>
      <c r="B2043">
        <v>5.0000000000000001E-3</v>
      </c>
      <c r="C2043">
        <v>0.17</v>
      </c>
      <c r="D2043">
        <v>0.79652722639242757</v>
      </c>
      <c r="E2043">
        <v>0.32730195953908209</v>
      </c>
      <c r="F2043">
        <v>0.1014282871017695</v>
      </c>
      <c r="G2043" s="166">
        <v>58.905746334163709</v>
      </c>
    </row>
    <row r="2044" spans="1:7" x14ac:dyDescent="0.25">
      <c r="A2044">
        <v>9</v>
      </c>
      <c r="B2044">
        <v>5.0000000000000001E-3</v>
      </c>
      <c r="C2044">
        <v>0.17</v>
      </c>
      <c r="D2044">
        <v>0.72302899425726586</v>
      </c>
      <c r="E2044">
        <v>0.29710071267216709</v>
      </c>
      <c r="F2044">
        <v>9.2069159700385608E-2</v>
      </c>
      <c r="G2044" s="166">
        <v>58.407328280768688</v>
      </c>
    </row>
    <row r="2045" spans="1:7" x14ac:dyDescent="0.25">
      <c r="A2045">
        <v>8</v>
      </c>
      <c r="B2045">
        <v>5.0000000000000001E-3</v>
      </c>
      <c r="C2045">
        <v>0.17</v>
      </c>
      <c r="D2045">
        <v>0.64946202106381501</v>
      </c>
      <c r="E2045">
        <v>0.26687121933440555</v>
      </c>
      <c r="F2045">
        <v>8.2701278941219564E-2</v>
      </c>
      <c r="G2045" s="166">
        <v>57.80215457956669</v>
      </c>
    </row>
    <row r="2046" spans="1:7" x14ac:dyDescent="0.25">
      <c r="A2046">
        <v>7</v>
      </c>
      <c r="B2046">
        <v>5.0000000000000001E-3</v>
      </c>
      <c r="C2046">
        <v>0.17</v>
      </c>
      <c r="D2046">
        <v>0.57572880185402875</v>
      </c>
      <c r="E2046">
        <v>0.23657341364634482</v>
      </c>
      <c r="F2046">
        <v>7.3312228725297149E-2</v>
      </c>
      <c r="G2046" s="166">
        <v>57.058633162612665</v>
      </c>
    </row>
    <row r="2047" spans="1:7" x14ac:dyDescent="0.25">
      <c r="A2047">
        <v>6</v>
      </c>
      <c r="B2047">
        <v>5.0000000000000001E-3</v>
      </c>
      <c r="C2047">
        <v>0.17</v>
      </c>
      <c r="D2047">
        <v>0.50192087207471447</v>
      </c>
      <c r="E2047">
        <v>0.20624490854840258</v>
      </c>
      <c r="F2047">
        <v>6.391366500519742E-2</v>
      </c>
      <c r="G2047" s="166">
        <v>56.104945824903496</v>
      </c>
    </row>
    <row r="2048" spans="1:7" x14ac:dyDescent="0.25">
      <c r="A2048">
        <v>5</v>
      </c>
      <c r="B2048">
        <v>5.0000000000000001E-3</v>
      </c>
      <c r="C2048">
        <v>0.17</v>
      </c>
      <c r="D2048">
        <v>0.4278739861863155</v>
      </c>
      <c r="E2048">
        <v>0.17581821370859615</v>
      </c>
      <c r="F2048">
        <v>5.4484673061135108E-2</v>
      </c>
      <c r="G2048" s="166">
        <v>54.852668182001054</v>
      </c>
    </row>
    <row r="2049" spans="1:7" x14ac:dyDescent="0.25">
      <c r="A2049">
        <v>4</v>
      </c>
      <c r="B2049">
        <v>5.0000000000000001E-3</v>
      </c>
      <c r="C2049">
        <v>0.17</v>
      </c>
      <c r="D2049">
        <v>0.35335694697174136</v>
      </c>
      <c r="E2049">
        <v>0.14519832760069226</v>
      </c>
      <c r="F2049">
        <v>4.4995812671941145E-2</v>
      </c>
      <c r="G2049" s="166">
        <v>53.146056425608108</v>
      </c>
    </row>
    <row r="2050" spans="1:7" x14ac:dyDescent="0.25">
      <c r="A2050">
        <v>3</v>
      </c>
      <c r="B2050">
        <v>5.0000000000000001E-3</v>
      </c>
      <c r="C2050">
        <v>0.17</v>
      </c>
      <c r="D2050">
        <v>0.27808797570572003</v>
      </c>
      <c r="E2050">
        <v>0.11426946419016232</v>
      </c>
      <c r="F2050">
        <v>3.54112026618075E-2</v>
      </c>
      <c r="G2050" s="166">
        <v>50.662327295960239</v>
      </c>
    </row>
    <row r="2051" spans="1:7" x14ac:dyDescent="0.25">
      <c r="A2051">
        <v>2</v>
      </c>
      <c r="B2051">
        <v>5.0000000000000001E-3</v>
      </c>
      <c r="C2051">
        <v>0.17</v>
      </c>
      <c r="D2051">
        <v>0.20085434795971283</v>
      </c>
      <c r="E2051">
        <v>8.2533301425117001E-2</v>
      </c>
      <c r="F2051">
        <v>2.5576416970409462E-2</v>
      </c>
      <c r="G2051" s="166">
        <v>46.783471631505456</v>
      </c>
    </row>
    <row r="2052" spans="1:7" x14ac:dyDescent="0.25">
      <c r="A2052">
        <v>1</v>
      </c>
      <c r="B2052">
        <v>5.0000000000000001E-3</v>
      </c>
      <c r="C2052">
        <v>0.17</v>
      </c>
      <c r="D2052">
        <v>0.10814364357407195</v>
      </c>
      <c r="E2052">
        <v>4.4437434504029545E-2</v>
      </c>
      <c r="F2052">
        <v>1.3770809289648005E-2</v>
      </c>
      <c r="G2052" s="166">
        <v>43.470567741814456</v>
      </c>
    </row>
    <row r="2053" spans="1:7" x14ac:dyDescent="0.25">
      <c r="A2053">
        <v>50</v>
      </c>
      <c r="B2053">
        <v>0</v>
      </c>
      <c r="C2053">
        <v>0.17</v>
      </c>
      <c r="D2053">
        <v>2.736766380223691</v>
      </c>
      <c r="E2053">
        <v>1.1245679612294674</v>
      </c>
      <c r="F2053">
        <v>0.34849471172632596</v>
      </c>
      <c r="G2053" s="166">
        <v>68.380027119033187</v>
      </c>
    </row>
    <row r="2054" spans="1:7" x14ac:dyDescent="0.25">
      <c r="A2054">
        <v>49</v>
      </c>
      <c r="B2054">
        <v>0</v>
      </c>
      <c r="C2054">
        <v>0.17</v>
      </c>
      <c r="D2054">
        <v>2.7247957350702672</v>
      </c>
      <c r="E2054">
        <v>1.1196490890480255</v>
      </c>
      <c r="F2054">
        <v>0.34697039216362374</v>
      </c>
      <c r="G2054" s="166">
        <v>68.087441239376631</v>
      </c>
    </row>
    <row r="2055" spans="1:7" x14ac:dyDescent="0.25">
      <c r="A2055">
        <v>48</v>
      </c>
      <c r="B2055">
        <v>0</v>
      </c>
      <c r="C2055">
        <v>0.17</v>
      </c>
      <c r="D2055">
        <v>2.7128250899168429</v>
      </c>
      <c r="E2055">
        <v>1.1147302168665838</v>
      </c>
      <c r="F2055">
        <v>0.34544607260092153</v>
      </c>
      <c r="G2055" s="166">
        <v>67.792273223661766</v>
      </c>
    </row>
    <row r="2056" spans="1:7" x14ac:dyDescent="0.25">
      <c r="A2056">
        <v>47</v>
      </c>
      <c r="B2056">
        <v>0</v>
      </c>
      <c r="C2056">
        <v>0.17</v>
      </c>
      <c r="D2056">
        <v>2.6997779082976781</v>
      </c>
      <c r="E2056">
        <v>1.109368983792661</v>
      </c>
      <c r="F2056">
        <v>0.34378466889833725</v>
      </c>
      <c r="G2056" s="166">
        <v>67.485534271162436</v>
      </c>
    </row>
    <row r="2057" spans="1:7" x14ac:dyDescent="0.25">
      <c r="A2057">
        <v>46</v>
      </c>
      <c r="B2057">
        <v>0</v>
      </c>
      <c r="C2057">
        <v>0.17</v>
      </c>
      <c r="D2057">
        <v>2.6861363985974003</v>
      </c>
      <c r="E2057">
        <v>1.1037635346529067</v>
      </c>
      <c r="F2057">
        <v>0.34204758456959683</v>
      </c>
      <c r="G2057" s="166">
        <v>67.170777029311878</v>
      </c>
    </row>
    <row r="2058" spans="1:7" x14ac:dyDescent="0.25">
      <c r="A2058">
        <v>45</v>
      </c>
      <c r="B2058">
        <v>0</v>
      </c>
      <c r="C2058">
        <v>0.17</v>
      </c>
      <c r="D2058">
        <v>2.6724948888971221</v>
      </c>
      <c r="E2058">
        <v>1.0981580855131523</v>
      </c>
      <c r="F2058">
        <v>0.34031050024085641</v>
      </c>
      <c r="G2058" s="166">
        <v>66.852806487420423</v>
      </c>
    </row>
    <row r="2059" spans="1:7" x14ac:dyDescent="0.25">
      <c r="A2059">
        <v>44</v>
      </c>
      <c r="B2059">
        <v>0</v>
      </c>
      <c r="C2059">
        <v>0.17</v>
      </c>
      <c r="D2059">
        <v>2.6574476596828429</v>
      </c>
      <c r="E2059">
        <v>1.0919750104790782</v>
      </c>
      <c r="F2059">
        <v>0.33839441421860644</v>
      </c>
      <c r="G2059" s="166">
        <v>66.52229783397182</v>
      </c>
    </row>
    <row r="2060" spans="1:7" x14ac:dyDescent="0.25">
      <c r="A2060">
        <v>43</v>
      </c>
      <c r="B2060">
        <v>0</v>
      </c>
      <c r="C2060">
        <v>0.17</v>
      </c>
      <c r="D2060">
        <v>2.6420287585681179</v>
      </c>
      <c r="E2060">
        <v>1.0856392112978679</v>
      </c>
      <c r="F2060">
        <v>0.33643100019176736</v>
      </c>
      <c r="G2060" s="166">
        <v>66.185509954894613</v>
      </c>
    </row>
    <row r="2061" spans="1:7" x14ac:dyDescent="0.25">
      <c r="A2061">
        <v>42</v>
      </c>
      <c r="B2061">
        <v>0</v>
      </c>
      <c r="C2061">
        <v>0.17</v>
      </c>
      <c r="D2061">
        <v>2.6260515382929528</v>
      </c>
      <c r="E2061">
        <v>1.0790739925196804</v>
      </c>
      <c r="F2061">
        <v>0.33439649084737583</v>
      </c>
      <c r="G2061" s="166">
        <v>65.842685024545162</v>
      </c>
    </row>
    <row r="2062" spans="1:7" x14ac:dyDescent="0.25">
      <c r="A2062">
        <v>41</v>
      </c>
      <c r="B2062">
        <v>0</v>
      </c>
      <c r="C2062">
        <v>0.17</v>
      </c>
      <c r="D2062">
        <v>2.6086784238069813</v>
      </c>
      <c r="E2062">
        <v>1.0719351851743133</v>
      </c>
      <c r="F2062">
        <v>0.33218423094520538</v>
      </c>
      <c r="G2062" s="166">
        <v>65.488894813899563</v>
      </c>
    </row>
    <row r="2063" spans="1:7" x14ac:dyDescent="0.25">
      <c r="A2063">
        <v>40</v>
      </c>
      <c r="B2063">
        <v>0</v>
      </c>
      <c r="C2063">
        <v>0.17</v>
      </c>
      <c r="D2063">
        <v>2.5912590165369815</v>
      </c>
      <c r="E2063">
        <v>1.0647773556054452</v>
      </c>
      <c r="F2063">
        <v>0.32996607620650753</v>
      </c>
      <c r="G2063" s="166">
        <v>65.130212496597196</v>
      </c>
    </row>
    <row r="2064" spans="1:7" x14ac:dyDescent="0.25">
      <c r="A2064">
        <v>39</v>
      </c>
      <c r="B2064">
        <v>0</v>
      </c>
      <c r="C2064">
        <v>0.17</v>
      </c>
      <c r="D2064">
        <v>2.5718966018004958</v>
      </c>
      <c r="E2064">
        <v>1.0568211225042079</v>
      </c>
      <c r="F2064">
        <v>0.32750050253142987</v>
      </c>
      <c r="G2064" s="166">
        <v>64.760132724518897</v>
      </c>
    </row>
    <row r="2065" spans="1:7" x14ac:dyDescent="0.25">
      <c r="A2065">
        <v>38</v>
      </c>
      <c r="B2065">
        <v>0</v>
      </c>
      <c r="C2065">
        <v>0.17</v>
      </c>
      <c r="D2065">
        <v>2.5525067439918567</v>
      </c>
      <c r="E2065">
        <v>1.0488536127372221</v>
      </c>
      <c r="F2065">
        <v>0.32503143430687653</v>
      </c>
      <c r="G2065" s="166">
        <v>64.384279570348326</v>
      </c>
    </row>
    <row r="2066" spans="1:7" x14ac:dyDescent="0.25">
      <c r="A2066">
        <v>37</v>
      </c>
      <c r="B2066">
        <v>0</v>
      </c>
      <c r="C2066">
        <v>0.17</v>
      </c>
      <c r="D2066">
        <v>2.5302949502700831</v>
      </c>
      <c r="E2066">
        <v>1.0397265378939162</v>
      </c>
      <c r="F2066">
        <v>0.32220302604158596</v>
      </c>
      <c r="G2066" s="166">
        <v>63.989830818689327</v>
      </c>
    </row>
    <row r="2067" spans="1:7" x14ac:dyDescent="0.25">
      <c r="A2067">
        <v>36</v>
      </c>
      <c r="B2067">
        <v>0</v>
      </c>
      <c r="C2067">
        <v>0.17</v>
      </c>
      <c r="D2067">
        <v>2.5055234016776957</v>
      </c>
      <c r="E2067">
        <v>1.0295476311014553</v>
      </c>
      <c r="F2067">
        <v>0.31904866337910209</v>
      </c>
      <c r="G2067" s="166">
        <v>63.58327895395</v>
      </c>
    </row>
    <row r="2068" spans="1:7" x14ac:dyDescent="0.25">
      <c r="A2068">
        <v>35</v>
      </c>
      <c r="B2068">
        <v>0</v>
      </c>
      <c r="C2068">
        <v>0.17</v>
      </c>
      <c r="D2068">
        <v>2.4659254685287473</v>
      </c>
      <c r="E2068">
        <v>1.0132763968185445</v>
      </c>
      <c r="F2068">
        <v>0.31400633663999145</v>
      </c>
      <c r="G2068" s="166">
        <v>63.200534478320805</v>
      </c>
    </row>
    <row r="2069" spans="1:7" x14ac:dyDescent="0.25">
      <c r="A2069">
        <v>34</v>
      </c>
      <c r="B2069">
        <v>0</v>
      </c>
      <c r="C2069">
        <v>0.17</v>
      </c>
      <c r="D2069">
        <v>2.4185973008422792</v>
      </c>
      <c r="E2069">
        <v>0.99382872257477239</v>
      </c>
      <c r="F2069">
        <v>0.30797965629430446</v>
      </c>
      <c r="G2069" s="166">
        <v>62.914377721249501</v>
      </c>
    </row>
    <row r="2070" spans="1:7" x14ac:dyDescent="0.25">
      <c r="A2070">
        <v>33</v>
      </c>
      <c r="B2070">
        <v>0</v>
      </c>
      <c r="C2070">
        <v>0.17</v>
      </c>
      <c r="D2070">
        <v>2.3646284823077126</v>
      </c>
      <c r="E2070">
        <v>0.97165233051297717</v>
      </c>
      <c r="F2070">
        <v>0.30110736789098197</v>
      </c>
      <c r="G2070" s="166">
        <v>62.727666287141396</v>
      </c>
    </row>
    <row r="2071" spans="1:7" x14ac:dyDescent="0.25">
      <c r="A2071">
        <v>32</v>
      </c>
      <c r="B2071">
        <v>0</v>
      </c>
      <c r="C2071">
        <v>0.17</v>
      </c>
      <c r="D2071">
        <v>2.3044792633331315</v>
      </c>
      <c r="E2071">
        <v>0.94693634268128624</v>
      </c>
      <c r="F2071">
        <v>0.29344807885608926</v>
      </c>
      <c r="G2071" s="166">
        <v>62.648243981112955</v>
      </c>
    </row>
    <row r="2072" spans="1:7" x14ac:dyDescent="0.25">
      <c r="A2072">
        <v>31</v>
      </c>
      <c r="B2072">
        <v>0</v>
      </c>
      <c r="C2072">
        <v>0.17</v>
      </c>
      <c r="D2072">
        <v>2.2383271754100047</v>
      </c>
      <c r="E2072">
        <v>0.91975370875814411</v>
      </c>
      <c r="F2072">
        <v>0.28502439571767668</v>
      </c>
      <c r="G2072" s="166">
        <v>62.687634528087472</v>
      </c>
    </row>
    <row r="2073" spans="1:7" x14ac:dyDescent="0.25">
      <c r="A2073">
        <v>30</v>
      </c>
      <c r="B2073">
        <v>0</v>
      </c>
      <c r="C2073">
        <v>0.17</v>
      </c>
      <c r="D2073">
        <v>2.1682242259056648</v>
      </c>
      <c r="E2073">
        <v>0.89094762155612872</v>
      </c>
      <c r="F2073">
        <v>0.27609761725561327</v>
      </c>
      <c r="G2073" s="166">
        <v>62.690044989329316</v>
      </c>
    </row>
    <row r="2074" spans="1:7" x14ac:dyDescent="0.25">
      <c r="A2074">
        <v>29</v>
      </c>
      <c r="B2074">
        <v>0</v>
      </c>
      <c r="C2074">
        <v>0.17</v>
      </c>
      <c r="D2074">
        <v>2.098121276401324</v>
      </c>
      <c r="E2074">
        <v>0.86214153435411289</v>
      </c>
      <c r="F2074">
        <v>0.26717083879354975</v>
      </c>
      <c r="G2074" s="166">
        <v>62.625171673607106</v>
      </c>
    </row>
    <row r="2075" spans="1:7" x14ac:dyDescent="0.25">
      <c r="A2075">
        <v>28</v>
      </c>
      <c r="B2075">
        <v>0</v>
      </c>
      <c r="C2075">
        <v>0.17</v>
      </c>
      <c r="D2075">
        <v>2.0280183268969836</v>
      </c>
      <c r="E2075">
        <v>0.8333354471520974</v>
      </c>
      <c r="F2075">
        <v>0.25824406033148628</v>
      </c>
      <c r="G2075" s="166">
        <v>62.555813377925887</v>
      </c>
    </row>
    <row r="2076" spans="1:7" x14ac:dyDescent="0.25">
      <c r="A2076">
        <v>27</v>
      </c>
      <c r="B2076">
        <v>0</v>
      </c>
      <c r="C2076">
        <v>0.17</v>
      </c>
      <c r="D2076">
        <v>1.9579153773926428</v>
      </c>
      <c r="E2076">
        <v>0.80452935995008146</v>
      </c>
      <c r="F2076">
        <v>0.24931728186942273</v>
      </c>
      <c r="G2076" s="166">
        <v>62.481488349610615</v>
      </c>
    </row>
    <row r="2077" spans="1:7" x14ac:dyDescent="0.25">
      <c r="A2077">
        <v>26</v>
      </c>
      <c r="B2077">
        <v>0</v>
      </c>
      <c r="C2077">
        <v>0.17</v>
      </c>
      <c r="D2077">
        <v>1.8878124278883037</v>
      </c>
      <c r="E2077">
        <v>0.77572327274806629</v>
      </c>
      <c r="F2077">
        <v>0.24039050340735943</v>
      </c>
      <c r="G2077" s="166">
        <v>62.401643277428732</v>
      </c>
    </row>
    <row r="2078" spans="1:7" x14ac:dyDescent="0.25">
      <c r="A2078">
        <v>25</v>
      </c>
      <c r="B2078">
        <v>0</v>
      </c>
      <c r="C2078">
        <v>0.17</v>
      </c>
      <c r="D2078">
        <v>1.8177094783839627</v>
      </c>
      <c r="E2078">
        <v>0.74691718554605047</v>
      </c>
      <c r="F2078">
        <v>0.23146372494529585</v>
      </c>
      <c r="G2078" s="166">
        <v>62.315639492724458</v>
      </c>
    </row>
    <row r="2079" spans="1:7" x14ac:dyDescent="0.25">
      <c r="A2079">
        <v>24</v>
      </c>
      <c r="B2079">
        <v>0</v>
      </c>
      <c r="C2079">
        <v>0.17</v>
      </c>
      <c r="D2079">
        <v>1.7475632285171405</v>
      </c>
      <c r="E2079">
        <v>0.71809330574006669</v>
      </c>
      <c r="F2079">
        <v>0.22253143269606743</v>
      </c>
      <c r="G2079" s="166">
        <v>62.224277577329055</v>
      </c>
    </row>
    <row r="2080" spans="1:7" x14ac:dyDescent="0.25">
      <c r="A2080">
        <v>23</v>
      </c>
      <c r="B2080">
        <v>0</v>
      </c>
      <c r="C2080">
        <v>0.17</v>
      </c>
      <c r="D2080">
        <v>1.677380506168437</v>
      </c>
      <c r="E2080">
        <v>0.6892544389827352</v>
      </c>
      <c r="F2080">
        <v>0.21359449610921813</v>
      </c>
      <c r="G2080" s="166">
        <v>62.126625348071236</v>
      </c>
    </row>
    <row r="2081" spans="1:7" x14ac:dyDescent="0.25">
      <c r="A2081">
        <v>22</v>
      </c>
      <c r="B2081">
        <v>0</v>
      </c>
      <c r="C2081">
        <v>0.17</v>
      </c>
      <c r="D2081">
        <v>1.6071977838197331</v>
      </c>
      <c r="E2081">
        <v>0.66041557222540359</v>
      </c>
      <c r="F2081">
        <v>0.20465755952236878</v>
      </c>
      <c r="G2081" s="166">
        <v>62.020444611168948</v>
      </c>
    </row>
    <row r="2082" spans="1:7" x14ac:dyDescent="0.25">
      <c r="A2082">
        <v>21</v>
      </c>
      <c r="B2082">
        <v>0</v>
      </c>
      <c r="C2082">
        <v>0.17</v>
      </c>
      <c r="D2082">
        <v>1.5370150614710285</v>
      </c>
      <c r="E2082">
        <v>0.63157670546807176</v>
      </c>
      <c r="F2082">
        <v>0.19572062293551937</v>
      </c>
      <c r="G2082" s="166">
        <v>61.904567088121134</v>
      </c>
    </row>
    <row r="2083" spans="1:7" x14ac:dyDescent="0.25">
      <c r="A2083">
        <v>20</v>
      </c>
      <c r="B2083">
        <v>0</v>
      </c>
      <c r="C2083">
        <v>0.17</v>
      </c>
      <c r="D2083">
        <v>1.4668323391223248</v>
      </c>
      <c r="E2083">
        <v>0.60273783871074027</v>
      </c>
      <c r="F2083">
        <v>0.18678368634867007</v>
      </c>
      <c r="G2083" s="166">
        <v>61.777600908504112</v>
      </c>
    </row>
    <row r="2084" spans="1:7" x14ac:dyDescent="0.25">
      <c r="A2084">
        <v>19</v>
      </c>
      <c r="B2084">
        <v>0</v>
      </c>
      <c r="C2084">
        <v>0.17</v>
      </c>
      <c r="D2084">
        <v>1.3966496167736209</v>
      </c>
      <c r="E2084">
        <v>0.57389897195340867</v>
      </c>
      <c r="F2084">
        <v>0.17784674976182069</v>
      </c>
      <c r="G2084" s="166">
        <v>61.637874431637655</v>
      </c>
    </row>
    <row r="2085" spans="1:7" x14ac:dyDescent="0.25">
      <c r="A2085">
        <v>18</v>
      </c>
      <c r="B2085">
        <v>0</v>
      </c>
      <c r="C2085">
        <v>0.17</v>
      </c>
      <c r="D2085">
        <v>1.3264668944249165</v>
      </c>
      <c r="E2085">
        <v>0.54506010519607684</v>
      </c>
      <c r="F2085">
        <v>0.16890981317497131</v>
      </c>
      <c r="G2085" s="166">
        <v>61.483362234039014</v>
      </c>
    </row>
    <row r="2086" spans="1:7" x14ac:dyDescent="0.25">
      <c r="A2086">
        <v>17</v>
      </c>
      <c r="B2086">
        <v>0</v>
      </c>
      <c r="C2086">
        <v>0.17</v>
      </c>
      <c r="D2086">
        <v>1.2562841720762128</v>
      </c>
      <c r="E2086">
        <v>0.51622123843874534</v>
      </c>
      <c r="F2086">
        <v>0.15997287658812198</v>
      </c>
      <c r="G2086" s="166">
        <v>61.311586288469044</v>
      </c>
    </row>
    <row r="2087" spans="1:7" x14ac:dyDescent="0.25">
      <c r="A2087">
        <v>16</v>
      </c>
      <c r="B2087">
        <v>0</v>
      </c>
      <c r="C2087">
        <v>0.17</v>
      </c>
      <c r="D2087">
        <v>1.1861014497275084</v>
      </c>
      <c r="E2087">
        <v>0.48738237168141357</v>
      </c>
      <c r="F2087">
        <v>0.1510359400012726</v>
      </c>
      <c r="G2087" s="166">
        <v>61.119482059012576</v>
      </c>
    </row>
    <row r="2088" spans="1:7" x14ac:dyDescent="0.25">
      <c r="A2088">
        <v>15</v>
      </c>
      <c r="B2088">
        <v>0</v>
      </c>
      <c r="C2088">
        <v>0.17</v>
      </c>
      <c r="D2088">
        <v>1.1159187273788043</v>
      </c>
      <c r="E2088">
        <v>0.45854350492408186</v>
      </c>
      <c r="F2088">
        <v>0.14209900341442322</v>
      </c>
      <c r="G2088" s="166">
        <v>60.90321406660965</v>
      </c>
    </row>
    <row r="2089" spans="1:7" x14ac:dyDescent="0.25">
      <c r="A2089">
        <v>14</v>
      </c>
      <c r="B2089">
        <v>0</v>
      </c>
      <c r="C2089">
        <v>0.17</v>
      </c>
      <c r="D2089">
        <v>1.0457360050301008</v>
      </c>
      <c r="E2089">
        <v>0.42970463816675036</v>
      </c>
      <c r="F2089">
        <v>0.13316206682757389</v>
      </c>
      <c r="G2089" s="166">
        <v>60.657917186627564</v>
      </c>
    </row>
    <row r="2090" spans="1:7" x14ac:dyDescent="0.25">
      <c r="A2090">
        <v>13</v>
      </c>
      <c r="B2090">
        <v>0</v>
      </c>
      <c r="C2090">
        <v>0.17</v>
      </c>
      <c r="D2090">
        <v>0.97555328268139652</v>
      </c>
      <c r="E2090">
        <v>0.40086577140941865</v>
      </c>
      <c r="F2090">
        <v>0.12422513024072453</v>
      </c>
      <c r="G2090" s="166">
        <v>60.377326277859183</v>
      </c>
    </row>
    <row r="2091" spans="1:7" x14ac:dyDescent="0.25">
      <c r="A2091">
        <v>12</v>
      </c>
      <c r="B2091">
        <v>0</v>
      </c>
      <c r="C2091">
        <v>0.17</v>
      </c>
      <c r="D2091">
        <v>0.90530673096672043</v>
      </c>
      <c r="E2091">
        <v>0.37200067645063128</v>
      </c>
      <c r="F2091">
        <v>0.11528006574180534</v>
      </c>
      <c r="G2091" s="166">
        <v>60.057467649150425</v>
      </c>
    </row>
    <row r="2092" spans="1:7" x14ac:dyDescent="0.25">
      <c r="A2092">
        <v>11</v>
      </c>
      <c r="B2092">
        <v>0</v>
      </c>
      <c r="C2092">
        <v>0.17</v>
      </c>
      <c r="D2092">
        <v>0.8349668104973762</v>
      </c>
      <c r="E2092">
        <v>0.34309721522469067</v>
      </c>
      <c r="F2092">
        <v>0.10632311184031333</v>
      </c>
      <c r="G2092" s="166">
        <v>59.690469056613153</v>
      </c>
    </row>
    <row r="2093" spans="1:7" x14ac:dyDescent="0.25">
      <c r="A2093">
        <v>10</v>
      </c>
      <c r="B2093">
        <v>0</v>
      </c>
      <c r="C2093">
        <v>0.17</v>
      </c>
      <c r="D2093">
        <v>0.76462689002803197</v>
      </c>
      <c r="E2093">
        <v>0.31419375399875005</v>
      </c>
      <c r="F2093">
        <v>9.7366157938821293E-2</v>
      </c>
      <c r="G2093" s="166">
        <v>59.25594824598992</v>
      </c>
    </row>
    <row r="2094" spans="1:7" x14ac:dyDescent="0.25">
      <c r="A2094">
        <v>9</v>
      </c>
      <c r="B2094">
        <v>0</v>
      </c>
      <c r="C2094">
        <v>0.17</v>
      </c>
      <c r="D2094">
        <v>0.69428696955868774</v>
      </c>
      <c r="E2094">
        <v>0.28529029277280943</v>
      </c>
      <c r="F2094">
        <v>8.8409204037329256E-2</v>
      </c>
      <c r="G2094" s="166">
        <v>58.733382691329687</v>
      </c>
    </row>
    <row r="2095" spans="1:7" x14ac:dyDescent="0.25">
      <c r="A2095">
        <v>8</v>
      </c>
      <c r="B2095">
        <v>0</v>
      </c>
      <c r="C2095">
        <v>0.17</v>
      </c>
      <c r="D2095">
        <v>0.62387017812981627</v>
      </c>
      <c r="E2095">
        <v>0.25635524440853724</v>
      </c>
      <c r="F2095">
        <v>7.9442461531638434E-2</v>
      </c>
      <c r="G2095" s="166">
        <v>58.100153540040338</v>
      </c>
    </row>
    <row r="2096" spans="1:7" x14ac:dyDescent="0.25">
      <c r="A2096">
        <v>7</v>
      </c>
      <c r="B2096">
        <v>0</v>
      </c>
      <c r="C2096">
        <v>0.17</v>
      </c>
      <c r="D2096">
        <v>0.55329642801002987</v>
      </c>
      <c r="E2096">
        <v>0.22735569996001215</v>
      </c>
      <c r="F2096">
        <v>7.0455732199838292E-2</v>
      </c>
      <c r="G2096" s="166">
        <v>57.322047261654049</v>
      </c>
    </row>
    <row r="2097" spans="1:7" x14ac:dyDescent="0.25">
      <c r="A2097">
        <v>6</v>
      </c>
      <c r="B2097">
        <v>0</v>
      </c>
      <c r="C2097">
        <v>0.17</v>
      </c>
      <c r="D2097">
        <v>0.48263594928400083</v>
      </c>
      <c r="E2097">
        <v>0.19832051775570075</v>
      </c>
      <c r="F2097">
        <v>6.1457959009545399E-2</v>
      </c>
      <c r="G2097" s="166">
        <v>56.326543628019671</v>
      </c>
    </row>
    <row r="2098" spans="1:7" x14ac:dyDescent="0.25">
      <c r="A2098">
        <v>5</v>
      </c>
      <c r="B2098">
        <v>0</v>
      </c>
      <c r="C2098">
        <v>0.17</v>
      </c>
      <c r="D2098">
        <v>0.41173423809540594</v>
      </c>
      <c r="E2098">
        <v>0.16918621043038146</v>
      </c>
      <c r="F2098">
        <v>5.2429467728695549E-2</v>
      </c>
      <c r="G2098" s="166">
        <v>55.021767964429635</v>
      </c>
    </row>
    <row r="2099" spans="1:7" x14ac:dyDescent="0.25">
      <c r="A2099">
        <v>4</v>
      </c>
      <c r="B2099">
        <v>0</v>
      </c>
      <c r="C2099">
        <v>0.17</v>
      </c>
      <c r="D2099">
        <v>0.34036317415447015</v>
      </c>
      <c r="E2099">
        <v>0.13985904080172068</v>
      </c>
      <c r="F2099">
        <v>4.3341209946288622E-2</v>
      </c>
      <c r="G2099" s="166">
        <v>53.247466075669443</v>
      </c>
    </row>
    <row r="2100" spans="1:7" x14ac:dyDescent="0.25">
      <c r="A2100">
        <v>3</v>
      </c>
      <c r="B2100">
        <v>0</v>
      </c>
      <c r="C2100">
        <v>0.17</v>
      </c>
      <c r="D2100">
        <v>0.2682187160407693</v>
      </c>
      <c r="E2100">
        <v>0.11021407484437874</v>
      </c>
      <c r="F2100">
        <v>3.4154469596558379E-2</v>
      </c>
      <c r="G2100" s="166">
        <v>50.677326428003298</v>
      </c>
    </row>
    <row r="2101" spans="1:7" x14ac:dyDescent="0.25">
      <c r="A2101">
        <v>2</v>
      </c>
      <c r="B2101">
        <v>0</v>
      </c>
      <c r="C2101">
        <v>0.17</v>
      </c>
      <c r="D2101">
        <v>0.19405172768492829</v>
      </c>
      <c r="E2101">
        <v>7.9738028555385462E-2</v>
      </c>
      <c r="F2101">
        <v>2.4710184028944093E-2</v>
      </c>
      <c r="G2101" s="166">
        <v>46.697539840056109</v>
      </c>
    </row>
    <row r="2102" spans="1:7" x14ac:dyDescent="0.25">
      <c r="A2102">
        <v>1</v>
      </c>
      <c r="B2102">
        <v>0</v>
      </c>
      <c r="C2102">
        <v>0.17</v>
      </c>
      <c r="D2102">
        <v>0.10234535531345801</v>
      </c>
      <c r="E2102">
        <v>4.2054852908838203E-2</v>
      </c>
      <c r="F2102">
        <v>1.3032466108260473E-2</v>
      </c>
      <c r="G2102" s="166">
        <v>44.270393399118305</v>
      </c>
    </row>
    <row r="2103" spans="1:7" x14ac:dyDescent="0.25">
      <c r="G2103" s="166"/>
    </row>
    <row r="2104" spans="1:7" x14ac:dyDescent="0.25">
      <c r="G2104" s="166"/>
    </row>
    <row r="2105" spans="1:7" x14ac:dyDescent="0.25">
      <c r="G2105" s="166"/>
    </row>
    <row r="2106" spans="1:7" x14ac:dyDescent="0.25">
      <c r="G2106" s="166"/>
    </row>
    <row r="2107" spans="1:7" x14ac:dyDescent="0.25">
      <c r="G2107" s="166"/>
    </row>
    <row r="2108" spans="1:7" x14ac:dyDescent="0.25">
      <c r="G2108" s="166"/>
    </row>
    <row r="2109" spans="1:7" x14ac:dyDescent="0.25">
      <c r="G2109" s="166"/>
    </row>
    <row r="2110" spans="1:7" x14ac:dyDescent="0.25">
      <c r="G2110" s="166"/>
    </row>
    <row r="2111" spans="1:7" x14ac:dyDescent="0.25">
      <c r="G2111" s="166"/>
    </row>
    <row r="2112" spans="1:7" x14ac:dyDescent="0.25">
      <c r="G2112" s="166"/>
    </row>
    <row r="2113" spans="7:7" x14ac:dyDescent="0.25">
      <c r="G2113" s="166"/>
    </row>
    <row r="2114" spans="7:7" x14ac:dyDescent="0.25">
      <c r="G2114" s="166"/>
    </row>
    <row r="2115" spans="7:7" x14ac:dyDescent="0.25">
      <c r="G2115" s="166"/>
    </row>
    <row r="2116" spans="7:7" x14ac:dyDescent="0.25">
      <c r="G2116" s="166"/>
    </row>
    <row r="2117" spans="7:7" x14ac:dyDescent="0.25">
      <c r="G2117" s="166"/>
    </row>
    <row r="2118" spans="7:7" x14ac:dyDescent="0.25">
      <c r="G2118" s="166"/>
    </row>
    <row r="2119" spans="7:7" x14ac:dyDescent="0.25">
      <c r="G2119" s="166"/>
    </row>
    <row r="2120" spans="7:7" x14ac:dyDescent="0.25">
      <c r="G2120" s="166"/>
    </row>
    <row r="2121" spans="7:7" x14ac:dyDescent="0.25">
      <c r="G2121" s="166"/>
    </row>
    <row r="2122" spans="7:7" x14ac:dyDescent="0.25">
      <c r="G2122" s="166"/>
    </row>
    <row r="2123" spans="7:7" x14ac:dyDescent="0.25">
      <c r="G2123" s="166"/>
    </row>
    <row r="2124" spans="7:7" x14ac:dyDescent="0.25">
      <c r="G2124" s="166"/>
    </row>
    <row r="2125" spans="7:7" x14ac:dyDescent="0.25">
      <c r="G2125" s="166"/>
    </row>
    <row r="2126" spans="7:7" x14ac:dyDescent="0.25">
      <c r="G2126" s="166"/>
    </row>
    <row r="2127" spans="7:7" x14ac:dyDescent="0.25">
      <c r="G2127" s="166"/>
    </row>
    <row r="2128" spans="7:7" x14ac:dyDescent="0.25">
      <c r="G2128" s="166"/>
    </row>
    <row r="2129" spans="7:7" x14ac:dyDescent="0.25">
      <c r="G2129" s="166"/>
    </row>
    <row r="2130" spans="7:7" x14ac:dyDescent="0.25">
      <c r="G2130" s="166"/>
    </row>
    <row r="2131" spans="7:7" x14ac:dyDescent="0.25">
      <c r="G2131" s="166"/>
    </row>
    <row r="2132" spans="7:7" x14ac:dyDescent="0.25">
      <c r="G2132" s="166"/>
    </row>
    <row r="2133" spans="7:7" x14ac:dyDescent="0.25">
      <c r="G2133" s="166"/>
    </row>
    <row r="2134" spans="7:7" x14ac:dyDescent="0.25">
      <c r="G2134" s="166"/>
    </row>
    <row r="2135" spans="7:7" x14ac:dyDescent="0.25">
      <c r="G2135" s="166"/>
    </row>
    <row r="2136" spans="7:7" x14ac:dyDescent="0.25">
      <c r="G2136" s="166"/>
    </row>
    <row r="2137" spans="7:7" x14ac:dyDescent="0.25">
      <c r="G2137" s="166"/>
    </row>
    <row r="2138" spans="7:7" x14ac:dyDescent="0.25">
      <c r="G2138" s="166"/>
    </row>
    <row r="2139" spans="7:7" x14ac:dyDescent="0.25">
      <c r="G2139" s="166"/>
    </row>
    <row r="2140" spans="7:7" x14ac:dyDescent="0.25">
      <c r="G2140" s="166"/>
    </row>
    <row r="2141" spans="7:7" x14ac:dyDescent="0.25">
      <c r="G2141" s="166"/>
    </row>
    <row r="2142" spans="7:7" x14ac:dyDescent="0.25">
      <c r="G2142" s="166"/>
    </row>
    <row r="2143" spans="7:7" x14ac:dyDescent="0.25">
      <c r="G2143" s="166"/>
    </row>
    <row r="2144" spans="7:7" x14ac:dyDescent="0.25">
      <c r="G2144" s="166"/>
    </row>
    <row r="2145" spans="7:7" x14ac:dyDescent="0.25">
      <c r="G2145" s="166"/>
    </row>
    <row r="2146" spans="7:7" x14ac:dyDescent="0.25">
      <c r="G2146" s="166"/>
    </row>
    <row r="2147" spans="7:7" x14ac:dyDescent="0.25">
      <c r="G2147" s="166"/>
    </row>
    <row r="2148" spans="7:7" x14ac:dyDescent="0.25">
      <c r="G2148" s="166"/>
    </row>
    <row r="2149" spans="7:7" x14ac:dyDescent="0.25">
      <c r="G2149" s="166"/>
    </row>
    <row r="2150" spans="7:7" x14ac:dyDescent="0.25">
      <c r="G2150" s="166"/>
    </row>
    <row r="2151" spans="7:7" x14ac:dyDescent="0.25">
      <c r="G2151" s="166"/>
    </row>
    <row r="2152" spans="7:7" x14ac:dyDescent="0.25">
      <c r="G2152" s="166"/>
    </row>
    <row r="2153" spans="7:7" x14ac:dyDescent="0.25">
      <c r="G2153" s="166"/>
    </row>
    <row r="2154" spans="7:7" x14ac:dyDescent="0.25">
      <c r="G2154" s="166"/>
    </row>
    <row r="2155" spans="7:7" x14ac:dyDescent="0.25">
      <c r="G2155" s="166"/>
    </row>
    <row r="2156" spans="7:7" x14ac:dyDescent="0.25">
      <c r="G2156" s="166"/>
    </row>
    <row r="2157" spans="7:7" x14ac:dyDescent="0.25">
      <c r="G2157" s="166"/>
    </row>
    <row r="2158" spans="7:7" x14ac:dyDescent="0.25">
      <c r="G2158" s="166"/>
    </row>
    <row r="2159" spans="7:7" x14ac:dyDescent="0.25">
      <c r="G2159" s="166"/>
    </row>
    <row r="2160" spans="7:7" x14ac:dyDescent="0.25">
      <c r="G2160" s="166"/>
    </row>
    <row r="2161" spans="7:7" x14ac:dyDescent="0.25">
      <c r="G2161" s="166"/>
    </row>
    <row r="2162" spans="7:7" x14ac:dyDescent="0.25">
      <c r="G2162" s="166"/>
    </row>
    <row r="2163" spans="7:7" x14ac:dyDescent="0.25">
      <c r="G2163" s="166"/>
    </row>
    <row r="2164" spans="7:7" x14ac:dyDescent="0.25">
      <c r="G2164" s="166"/>
    </row>
    <row r="2165" spans="7:7" x14ac:dyDescent="0.25">
      <c r="G2165" s="166"/>
    </row>
    <row r="2166" spans="7:7" x14ac:dyDescent="0.25">
      <c r="G2166" s="166"/>
    </row>
    <row r="2167" spans="7:7" x14ac:dyDescent="0.25">
      <c r="G2167" s="166"/>
    </row>
    <row r="2168" spans="7:7" x14ac:dyDescent="0.25">
      <c r="G2168" s="166"/>
    </row>
    <row r="2169" spans="7:7" x14ac:dyDescent="0.25">
      <c r="G2169" s="166"/>
    </row>
    <row r="2170" spans="7:7" x14ac:dyDescent="0.25">
      <c r="G2170" s="166"/>
    </row>
    <row r="2171" spans="7:7" x14ac:dyDescent="0.25">
      <c r="G2171" s="166"/>
    </row>
    <row r="2172" spans="7:7" x14ac:dyDescent="0.25">
      <c r="G2172" s="166"/>
    </row>
    <row r="2173" spans="7:7" x14ac:dyDescent="0.25">
      <c r="G2173" s="166"/>
    </row>
    <row r="2174" spans="7:7" x14ac:dyDescent="0.25">
      <c r="G2174" s="166"/>
    </row>
    <row r="2175" spans="7:7" x14ac:dyDescent="0.25">
      <c r="G2175" s="166"/>
    </row>
    <row r="2176" spans="7:7" x14ac:dyDescent="0.25">
      <c r="G2176" s="166"/>
    </row>
    <row r="2177" spans="7:7" x14ac:dyDescent="0.25">
      <c r="G2177" s="166"/>
    </row>
    <row r="2178" spans="7:7" x14ac:dyDescent="0.25">
      <c r="G2178" s="166"/>
    </row>
    <row r="2179" spans="7:7" x14ac:dyDescent="0.25">
      <c r="G2179" s="166"/>
    </row>
    <row r="2180" spans="7:7" x14ac:dyDescent="0.25">
      <c r="G2180" s="166"/>
    </row>
    <row r="2181" spans="7:7" x14ac:dyDescent="0.25">
      <c r="G2181" s="166"/>
    </row>
    <row r="2182" spans="7:7" x14ac:dyDescent="0.25">
      <c r="G2182" s="166"/>
    </row>
    <row r="2183" spans="7:7" x14ac:dyDescent="0.25">
      <c r="G2183" s="166"/>
    </row>
    <row r="2184" spans="7:7" x14ac:dyDescent="0.25">
      <c r="G2184" s="166"/>
    </row>
    <row r="2185" spans="7:7" x14ac:dyDescent="0.25">
      <c r="G2185" s="166"/>
    </row>
    <row r="2186" spans="7:7" x14ac:dyDescent="0.25">
      <c r="G2186" s="166"/>
    </row>
    <row r="2187" spans="7:7" x14ac:dyDescent="0.25">
      <c r="G2187" s="166"/>
    </row>
    <row r="2188" spans="7:7" x14ac:dyDescent="0.25">
      <c r="G2188" s="166"/>
    </row>
    <row r="2189" spans="7:7" x14ac:dyDescent="0.25">
      <c r="G2189" s="166"/>
    </row>
    <row r="2190" spans="7:7" x14ac:dyDescent="0.25">
      <c r="G2190" s="166"/>
    </row>
    <row r="2191" spans="7:7" x14ac:dyDescent="0.25">
      <c r="G2191" s="166"/>
    </row>
    <row r="2192" spans="7:7" x14ac:dyDescent="0.25">
      <c r="G2192" s="166"/>
    </row>
    <row r="2193" spans="7:7" x14ac:dyDescent="0.25">
      <c r="G2193" s="166"/>
    </row>
    <row r="2194" spans="7:7" x14ac:dyDescent="0.25">
      <c r="G2194" s="166"/>
    </row>
    <row r="2195" spans="7:7" x14ac:dyDescent="0.25">
      <c r="G2195" s="166"/>
    </row>
    <row r="2196" spans="7:7" x14ac:dyDescent="0.25">
      <c r="G2196" s="166"/>
    </row>
    <row r="2197" spans="7:7" x14ac:dyDescent="0.25">
      <c r="G2197" s="166"/>
    </row>
    <row r="2198" spans="7:7" x14ac:dyDescent="0.25">
      <c r="G2198" s="166"/>
    </row>
    <row r="2199" spans="7:7" x14ac:dyDescent="0.25">
      <c r="G2199" s="166"/>
    </row>
    <row r="2200" spans="7:7" x14ac:dyDescent="0.25">
      <c r="G2200" s="166"/>
    </row>
    <row r="2201" spans="7:7" x14ac:dyDescent="0.25">
      <c r="G2201" s="166"/>
    </row>
    <row r="2202" spans="7:7" x14ac:dyDescent="0.25">
      <c r="G2202" s="166"/>
    </row>
    <row r="2203" spans="7:7" x14ac:dyDescent="0.25">
      <c r="G2203" s="166"/>
    </row>
    <row r="2204" spans="7:7" x14ac:dyDescent="0.25">
      <c r="G2204" s="166"/>
    </row>
    <row r="2205" spans="7:7" x14ac:dyDescent="0.25">
      <c r="G2205" s="166"/>
    </row>
    <row r="2206" spans="7:7" x14ac:dyDescent="0.25">
      <c r="G2206" s="166"/>
    </row>
    <row r="2207" spans="7:7" x14ac:dyDescent="0.25">
      <c r="G2207" s="166"/>
    </row>
    <row r="2208" spans="7:7" x14ac:dyDescent="0.25">
      <c r="G2208" s="166"/>
    </row>
    <row r="2209" spans="7:7" x14ac:dyDescent="0.25">
      <c r="G2209" s="166"/>
    </row>
    <row r="2210" spans="7:7" x14ac:dyDescent="0.25">
      <c r="G2210" s="166"/>
    </row>
    <row r="2211" spans="7:7" x14ac:dyDescent="0.25">
      <c r="G2211" s="166"/>
    </row>
    <row r="2212" spans="7:7" x14ac:dyDescent="0.25">
      <c r="G2212" s="166"/>
    </row>
    <row r="2213" spans="7:7" x14ac:dyDescent="0.25">
      <c r="G2213" s="166"/>
    </row>
    <row r="2214" spans="7:7" x14ac:dyDescent="0.25">
      <c r="G2214" s="166"/>
    </row>
    <row r="2215" spans="7:7" x14ac:dyDescent="0.25">
      <c r="G2215" s="166"/>
    </row>
    <row r="2216" spans="7:7" x14ac:dyDescent="0.25">
      <c r="G2216" s="166"/>
    </row>
    <row r="2217" spans="7:7" x14ac:dyDescent="0.25">
      <c r="G2217" s="166"/>
    </row>
    <row r="2218" spans="7:7" x14ac:dyDescent="0.25">
      <c r="G2218" s="166"/>
    </row>
    <row r="2219" spans="7:7" x14ac:dyDescent="0.25">
      <c r="G2219" s="166"/>
    </row>
    <row r="2220" spans="7:7" x14ac:dyDescent="0.25">
      <c r="G2220" s="166"/>
    </row>
    <row r="2221" spans="7:7" x14ac:dyDescent="0.25">
      <c r="G2221" s="166"/>
    </row>
    <row r="2222" spans="7:7" x14ac:dyDescent="0.25">
      <c r="G2222" s="166"/>
    </row>
    <row r="2223" spans="7:7" x14ac:dyDescent="0.25">
      <c r="G2223" s="166"/>
    </row>
    <row r="2224" spans="7:7" x14ac:dyDescent="0.25">
      <c r="G2224" s="166"/>
    </row>
    <row r="2225" spans="7:7" x14ac:dyDescent="0.25">
      <c r="G2225" s="166"/>
    </row>
    <row r="2226" spans="7:7" x14ac:dyDescent="0.25">
      <c r="G2226" s="166"/>
    </row>
    <row r="2227" spans="7:7" x14ac:dyDescent="0.25">
      <c r="G2227" s="166"/>
    </row>
    <row r="2228" spans="7:7" x14ac:dyDescent="0.25">
      <c r="G2228" s="166"/>
    </row>
    <row r="2229" spans="7:7" x14ac:dyDescent="0.25">
      <c r="G2229" s="166"/>
    </row>
    <row r="2230" spans="7:7" x14ac:dyDescent="0.25">
      <c r="G2230" s="166"/>
    </row>
    <row r="2231" spans="7:7" x14ac:dyDescent="0.25">
      <c r="G2231" s="166"/>
    </row>
    <row r="2232" spans="7:7" x14ac:dyDescent="0.25">
      <c r="G2232" s="166"/>
    </row>
    <row r="2233" spans="7:7" x14ac:dyDescent="0.25">
      <c r="G2233" s="166"/>
    </row>
    <row r="2234" spans="7:7" x14ac:dyDescent="0.25">
      <c r="G2234" s="166"/>
    </row>
    <row r="2235" spans="7:7" x14ac:dyDescent="0.25">
      <c r="G2235" s="166"/>
    </row>
    <row r="2236" spans="7:7" x14ac:dyDescent="0.25">
      <c r="G2236" s="166"/>
    </row>
    <row r="2237" spans="7:7" x14ac:dyDescent="0.25">
      <c r="G2237" s="166"/>
    </row>
    <row r="2238" spans="7:7" x14ac:dyDescent="0.25">
      <c r="G2238" s="166"/>
    </row>
    <row r="2239" spans="7:7" x14ac:dyDescent="0.25">
      <c r="G2239" s="166"/>
    </row>
    <row r="2240" spans="7:7" x14ac:dyDescent="0.25">
      <c r="G2240" s="166"/>
    </row>
    <row r="2241" spans="7:7" x14ac:dyDescent="0.25">
      <c r="G2241" s="166"/>
    </row>
    <row r="2242" spans="7:7" x14ac:dyDescent="0.25">
      <c r="G2242" s="166"/>
    </row>
    <row r="2243" spans="7:7" x14ac:dyDescent="0.25">
      <c r="G2243" s="166"/>
    </row>
    <row r="2244" spans="7:7" x14ac:dyDescent="0.25">
      <c r="G2244" s="166"/>
    </row>
    <row r="2245" spans="7:7" x14ac:dyDescent="0.25">
      <c r="G2245" s="166"/>
    </row>
    <row r="2246" spans="7:7" x14ac:dyDescent="0.25">
      <c r="G2246" s="166"/>
    </row>
    <row r="2247" spans="7:7" x14ac:dyDescent="0.25">
      <c r="G2247" s="166"/>
    </row>
    <row r="2248" spans="7:7" x14ac:dyDescent="0.25">
      <c r="G2248" s="166"/>
    </row>
    <row r="2249" spans="7:7" x14ac:dyDescent="0.25">
      <c r="G2249" s="166"/>
    </row>
    <row r="2250" spans="7:7" x14ac:dyDescent="0.25">
      <c r="G2250" s="166"/>
    </row>
    <row r="2251" spans="7:7" x14ac:dyDescent="0.25">
      <c r="G2251" s="166"/>
    </row>
    <row r="2252" spans="7:7" x14ac:dyDescent="0.25">
      <c r="G2252" s="166"/>
    </row>
    <row r="2253" spans="7:7" x14ac:dyDescent="0.25">
      <c r="G2253" s="166"/>
    </row>
    <row r="2254" spans="7:7" x14ac:dyDescent="0.25">
      <c r="G2254" s="166"/>
    </row>
    <row r="2255" spans="7:7" x14ac:dyDescent="0.25">
      <c r="G2255" s="166"/>
    </row>
    <row r="2256" spans="7:7" x14ac:dyDescent="0.25">
      <c r="G2256" s="166"/>
    </row>
    <row r="2257" spans="7:7" x14ac:dyDescent="0.25">
      <c r="G2257" s="166"/>
    </row>
    <row r="2258" spans="7:7" x14ac:dyDescent="0.25">
      <c r="G2258" s="166"/>
    </row>
    <row r="2259" spans="7:7" x14ac:dyDescent="0.25">
      <c r="G2259" s="166"/>
    </row>
    <row r="2260" spans="7:7" x14ac:dyDescent="0.25">
      <c r="G2260" s="166"/>
    </row>
    <row r="2261" spans="7:7" x14ac:dyDescent="0.25">
      <c r="G2261" s="166"/>
    </row>
    <row r="2262" spans="7:7" x14ac:dyDescent="0.25">
      <c r="G2262" s="166"/>
    </row>
    <row r="2263" spans="7:7" x14ac:dyDescent="0.25">
      <c r="G2263" s="166"/>
    </row>
    <row r="2264" spans="7:7" x14ac:dyDescent="0.25">
      <c r="G2264" s="166"/>
    </row>
    <row r="2265" spans="7:7" x14ac:dyDescent="0.25">
      <c r="G2265" s="166"/>
    </row>
    <row r="2266" spans="7:7" x14ac:dyDescent="0.25">
      <c r="G2266" s="166"/>
    </row>
    <row r="2267" spans="7:7" x14ac:dyDescent="0.25">
      <c r="G2267" s="166"/>
    </row>
    <row r="2268" spans="7:7" x14ac:dyDescent="0.25">
      <c r="G2268" s="166"/>
    </row>
    <row r="2269" spans="7:7" x14ac:dyDescent="0.25">
      <c r="G2269" s="166"/>
    </row>
    <row r="2270" spans="7:7" x14ac:dyDescent="0.25">
      <c r="G2270" s="166"/>
    </row>
    <row r="2271" spans="7:7" x14ac:dyDescent="0.25">
      <c r="G2271" s="166"/>
    </row>
    <row r="2272" spans="7:7" x14ac:dyDescent="0.25">
      <c r="G2272" s="166"/>
    </row>
    <row r="2273" spans="7:7" x14ac:dyDescent="0.25">
      <c r="G2273" s="166"/>
    </row>
    <row r="2274" spans="7:7" x14ac:dyDescent="0.25">
      <c r="G2274" s="166"/>
    </row>
    <row r="2275" spans="7:7" x14ac:dyDescent="0.25">
      <c r="G2275" s="166"/>
    </row>
    <row r="2276" spans="7:7" x14ac:dyDescent="0.25">
      <c r="G2276" s="166"/>
    </row>
    <row r="2277" spans="7:7" x14ac:dyDescent="0.25">
      <c r="G2277" s="166"/>
    </row>
    <row r="2278" spans="7:7" x14ac:dyDescent="0.25">
      <c r="G2278" s="166"/>
    </row>
    <row r="2279" spans="7:7" x14ac:dyDescent="0.25">
      <c r="G2279" s="166"/>
    </row>
    <row r="2280" spans="7:7" x14ac:dyDescent="0.25">
      <c r="G2280" s="166"/>
    </row>
    <row r="2281" spans="7:7" x14ac:dyDescent="0.25">
      <c r="G2281" s="166"/>
    </row>
    <row r="2282" spans="7:7" x14ac:dyDescent="0.25">
      <c r="G2282" s="166"/>
    </row>
    <row r="2283" spans="7:7" x14ac:dyDescent="0.25">
      <c r="G2283" s="166"/>
    </row>
    <row r="2284" spans="7:7" x14ac:dyDescent="0.25">
      <c r="G2284" s="166"/>
    </row>
    <row r="2285" spans="7:7" x14ac:dyDescent="0.25">
      <c r="G2285" s="166"/>
    </row>
    <row r="2286" spans="7:7" x14ac:dyDescent="0.25">
      <c r="G2286" s="166"/>
    </row>
    <row r="2287" spans="7:7" x14ac:dyDescent="0.25">
      <c r="G2287" s="166"/>
    </row>
    <row r="2288" spans="7:7" x14ac:dyDescent="0.25">
      <c r="G2288" s="166"/>
    </row>
    <row r="2289" spans="7:7" x14ac:dyDescent="0.25">
      <c r="G2289" s="166"/>
    </row>
    <row r="2290" spans="7:7" x14ac:dyDescent="0.25">
      <c r="G2290" s="166"/>
    </row>
    <row r="2291" spans="7:7" x14ac:dyDescent="0.25">
      <c r="G2291" s="166"/>
    </row>
    <row r="2292" spans="7:7" x14ac:dyDescent="0.25">
      <c r="G2292" s="166"/>
    </row>
    <row r="2293" spans="7:7" x14ac:dyDescent="0.25">
      <c r="G2293" s="166"/>
    </row>
    <row r="2294" spans="7:7" x14ac:dyDescent="0.25">
      <c r="G2294" s="166"/>
    </row>
    <row r="2295" spans="7:7" x14ac:dyDescent="0.25">
      <c r="G2295" s="166"/>
    </row>
    <row r="2296" spans="7:7" x14ac:dyDescent="0.25">
      <c r="G2296" s="166"/>
    </row>
    <row r="2297" spans="7:7" x14ac:dyDescent="0.25">
      <c r="G2297" s="166"/>
    </row>
    <row r="2298" spans="7:7" x14ac:dyDescent="0.25">
      <c r="G2298" s="166"/>
    </row>
    <row r="2299" spans="7:7" x14ac:dyDescent="0.25">
      <c r="G2299" s="166"/>
    </row>
    <row r="2300" spans="7:7" x14ac:dyDescent="0.25">
      <c r="G2300" s="166"/>
    </row>
    <row r="2301" spans="7:7" x14ac:dyDescent="0.25">
      <c r="G2301" s="166"/>
    </row>
    <row r="2302" spans="7:7" x14ac:dyDescent="0.25">
      <c r="G2302" s="166"/>
    </row>
    <row r="2303" spans="7:7" x14ac:dyDescent="0.25">
      <c r="G2303" s="166"/>
    </row>
    <row r="2304" spans="7:7" x14ac:dyDescent="0.25">
      <c r="G2304" s="166"/>
    </row>
    <row r="2305" spans="7:7" x14ac:dyDescent="0.25">
      <c r="G2305" s="166"/>
    </row>
    <row r="2306" spans="7:7" x14ac:dyDescent="0.25">
      <c r="G2306" s="166"/>
    </row>
    <row r="2307" spans="7:7" x14ac:dyDescent="0.25">
      <c r="G2307" s="166"/>
    </row>
    <row r="2308" spans="7:7" x14ac:dyDescent="0.25">
      <c r="G2308" s="166"/>
    </row>
    <row r="2309" spans="7:7" x14ac:dyDescent="0.25">
      <c r="G2309" s="166"/>
    </row>
    <row r="2310" spans="7:7" x14ac:dyDescent="0.25">
      <c r="G2310" s="166"/>
    </row>
    <row r="2311" spans="7:7" x14ac:dyDescent="0.25">
      <c r="G2311" s="166"/>
    </row>
    <row r="2312" spans="7:7" x14ac:dyDescent="0.25">
      <c r="G2312" s="166"/>
    </row>
    <row r="2313" spans="7:7" x14ac:dyDescent="0.25">
      <c r="G2313" s="166"/>
    </row>
    <row r="2314" spans="7:7" x14ac:dyDescent="0.25">
      <c r="G2314" s="166"/>
    </row>
    <row r="2315" spans="7:7" x14ac:dyDescent="0.25">
      <c r="G2315" s="166"/>
    </row>
    <row r="2316" spans="7:7" x14ac:dyDescent="0.25">
      <c r="G2316" s="166"/>
    </row>
    <row r="2317" spans="7:7" x14ac:dyDescent="0.25">
      <c r="G2317" s="166"/>
    </row>
    <row r="2318" spans="7:7" x14ac:dyDescent="0.25">
      <c r="G2318" s="166"/>
    </row>
    <row r="2319" spans="7:7" x14ac:dyDescent="0.25">
      <c r="G2319" s="166"/>
    </row>
    <row r="2320" spans="7:7" x14ac:dyDescent="0.25">
      <c r="G2320" s="166"/>
    </row>
    <row r="2321" spans="7:7" x14ac:dyDescent="0.25">
      <c r="G2321" s="166"/>
    </row>
    <row r="2322" spans="7:7" x14ac:dyDescent="0.25">
      <c r="G2322" s="166"/>
    </row>
    <row r="2323" spans="7:7" x14ac:dyDescent="0.25">
      <c r="G2323" s="166"/>
    </row>
    <row r="2324" spans="7:7" x14ac:dyDescent="0.25">
      <c r="G2324" s="166"/>
    </row>
    <row r="2325" spans="7:7" x14ac:dyDescent="0.25">
      <c r="G2325" s="166"/>
    </row>
    <row r="2326" spans="7:7" x14ac:dyDescent="0.25">
      <c r="G2326" s="166"/>
    </row>
    <row r="2327" spans="7:7" x14ac:dyDescent="0.25">
      <c r="G2327" s="166"/>
    </row>
    <row r="2328" spans="7:7" x14ac:dyDescent="0.25">
      <c r="G2328" s="166"/>
    </row>
    <row r="2329" spans="7:7" x14ac:dyDescent="0.25">
      <c r="G2329" s="166"/>
    </row>
    <row r="2330" spans="7:7" x14ac:dyDescent="0.25">
      <c r="G2330" s="166"/>
    </row>
    <row r="2331" spans="7:7" x14ac:dyDescent="0.25">
      <c r="G2331" s="166"/>
    </row>
    <row r="2332" spans="7:7" x14ac:dyDescent="0.25">
      <c r="G2332" s="166"/>
    </row>
    <row r="2333" spans="7:7" x14ac:dyDescent="0.25">
      <c r="G2333" s="166"/>
    </row>
    <row r="2334" spans="7:7" x14ac:dyDescent="0.25">
      <c r="G2334" s="166"/>
    </row>
    <row r="2335" spans="7:7" x14ac:dyDescent="0.25">
      <c r="G2335" s="166"/>
    </row>
    <row r="2336" spans="7:7" x14ac:dyDescent="0.25">
      <c r="G2336" s="166"/>
    </row>
    <row r="2337" spans="7:7" x14ac:dyDescent="0.25">
      <c r="G2337" s="166"/>
    </row>
    <row r="2338" spans="7:7" x14ac:dyDescent="0.25">
      <c r="G2338" s="166"/>
    </row>
    <row r="2339" spans="7:7" x14ac:dyDescent="0.25">
      <c r="G2339" s="166"/>
    </row>
    <row r="2340" spans="7:7" x14ac:dyDescent="0.25">
      <c r="G2340" s="166"/>
    </row>
    <row r="2341" spans="7:7" x14ac:dyDescent="0.25">
      <c r="G2341" s="166"/>
    </row>
    <row r="2342" spans="7:7" x14ac:dyDescent="0.25">
      <c r="G2342" s="166"/>
    </row>
    <row r="2343" spans="7:7" x14ac:dyDescent="0.25">
      <c r="G2343" s="166"/>
    </row>
    <row r="2344" spans="7:7" x14ac:dyDescent="0.25">
      <c r="G2344" s="166"/>
    </row>
    <row r="2345" spans="7:7" x14ac:dyDescent="0.25">
      <c r="G2345" s="166"/>
    </row>
    <row r="2346" spans="7:7" x14ac:dyDescent="0.25">
      <c r="G2346" s="166"/>
    </row>
    <row r="2347" spans="7:7" x14ac:dyDescent="0.25">
      <c r="G2347" s="166"/>
    </row>
    <row r="2348" spans="7:7" x14ac:dyDescent="0.25">
      <c r="G2348" s="166"/>
    </row>
    <row r="2349" spans="7:7" x14ac:dyDescent="0.25">
      <c r="G2349" s="166"/>
    </row>
    <row r="2350" spans="7:7" x14ac:dyDescent="0.25">
      <c r="G2350" s="166"/>
    </row>
    <row r="2351" spans="7:7" x14ac:dyDescent="0.25">
      <c r="G2351" s="166"/>
    </row>
    <row r="2352" spans="7:7" x14ac:dyDescent="0.25">
      <c r="G2352" s="166"/>
    </row>
    <row r="2353" spans="7:7" x14ac:dyDescent="0.25">
      <c r="G2353" s="166"/>
    </row>
    <row r="2354" spans="7:7" x14ac:dyDescent="0.25">
      <c r="G2354" s="166"/>
    </row>
    <row r="2355" spans="7:7" x14ac:dyDescent="0.25">
      <c r="G2355" s="166"/>
    </row>
    <row r="2356" spans="7:7" x14ac:dyDescent="0.25">
      <c r="G2356" s="166"/>
    </row>
    <row r="2357" spans="7:7" x14ac:dyDescent="0.25">
      <c r="G2357" s="166"/>
    </row>
    <row r="2358" spans="7:7" x14ac:dyDescent="0.25">
      <c r="G2358" s="166"/>
    </row>
    <row r="2359" spans="7:7" x14ac:dyDescent="0.25">
      <c r="G2359" s="166"/>
    </row>
    <row r="2360" spans="7:7" x14ac:dyDescent="0.25">
      <c r="G2360" s="166"/>
    </row>
    <row r="2361" spans="7:7" x14ac:dyDescent="0.25">
      <c r="G2361" s="166"/>
    </row>
    <row r="2362" spans="7:7" x14ac:dyDescent="0.25">
      <c r="G2362" s="166"/>
    </row>
    <row r="2363" spans="7:7" x14ac:dyDescent="0.25">
      <c r="G2363" s="166"/>
    </row>
    <row r="2364" spans="7:7" x14ac:dyDescent="0.25">
      <c r="G2364" s="166"/>
    </row>
    <row r="2365" spans="7:7" x14ac:dyDescent="0.25">
      <c r="G2365" s="166"/>
    </row>
    <row r="2366" spans="7:7" x14ac:dyDescent="0.25">
      <c r="G2366" s="166"/>
    </row>
    <row r="2367" spans="7:7" x14ac:dyDescent="0.25">
      <c r="G2367" s="166"/>
    </row>
    <row r="2368" spans="7:7" x14ac:dyDescent="0.25">
      <c r="G2368" s="166"/>
    </row>
    <row r="2369" spans="7:7" x14ac:dyDescent="0.25">
      <c r="G2369" s="166"/>
    </row>
    <row r="2370" spans="7:7" x14ac:dyDescent="0.25">
      <c r="G2370" s="166"/>
    </row>
    <row r="2371" spans="7:7" x14ac:dyDescent="0.25">
      <c r="G2371" s="166"/>
    </row>
    <row r="2372" spans="7:7" x14ac:dyDescent="0.25">
      <c r="G2372" s="166"/>
    </row>
    <row r="2373" spans="7:7" x14ac:dyDescent="0.25">
      <c r="G2373" s="166"/>
    </row>
    <row r="2374" spans="7:7" x14ac:dyDescent="0.25">
      <c r="G2374" s="166"/>
    </row>
    <row r="2375" spans="7:7" x14ac:dyDescent="0.25">
      <c r="G2375" s="166"/>
    </row>
    <row r="2376" spans="7:7" x14ac:dyDescent="0.25">
      <c r="G2376" s="166"/>
    </row>
    <row r="2377" spans="7:7" x14ac:dyDescent="0.25">
      <c r="G2377" s="166"/>
    </row>
    <row r="2378" spans="7:7" x14ac:dyDescent="0.25">
      <c r="G2378" s="166"/>
    </row>
    <row r="2379" spans="7:7" x14ac:dyDescent="0.25">
      <c r="G2379" s="166"/>
    </row>
    <row r="2380" spans="7:7" x14ac:dyDescent="0.25">
      <c r="G2380" s="166"/>
    </row>
    <row r="2381" spans="7:7" x14ac:dyDescent="0.25">
      <c r="G2381" s="166"/>
    </row>
    <row r="2382" spans="7:7" x14ac:dyDescent="0.25">
      <c r="G2382" s="166"/>
    </row>
    <row r="2383" spans="7:7" x14ac:dyDescent="0.25">
      <c r="G2383" s="166"/>
    </row>
    <row r="2384" spans="7:7" x14ac:dyDescent="0.25">
      <c r="G2384" s="166"/>
    </row>
    <row r="2385" spans="7:7" x14ac:dyDescent="0.25">
      <c r="G2385" s="166"/>
    </row>
    <row r="2386" spans="7:7" x14ac:dyDescent="0.25">
      <c r="G2386" s="166"/>
    </row>
    <row r="2387" spans="7:7" x14ac:dyDescent="0.25">
      <c r="G2387" s="166"/>
    </row>
    <row r="2388" spans="7:7" x14ac:dyDescent="0.25">
      <c r="G2388" s="166"/>
    </row>
    <row r="2389" spans="7:7" x14ac:dyDescent="0.25">
      <c r="G2389" s="166"/>
    </row>
    <row r="2390" spans="7:7" x14ac:dyDescent="0.25">
      <c r="G2390" s="166"/>
    </row>
    <row r="2391" spans="7:7" x14ac:dyDescent="0.25">
      <c r="G2391" s="166"/>
    </row>
    <row r="2392" spans="7:7" x14ac:dyDescent="0.25">
      <c r="G2392" s="166"/>
    </row>
    <row r="2393" spans="7:7" x14ac:dyDescent="0.25">
      <c r="G2393" s="166"/>
    </row>
    <row r="2394" spans="7:7" x14ac:dyDescent="0.25">
      <c r="G2394" s="166"/>
    </row>
    <row r="2395" spans="7:7" x14ac:dyDescent="0.25">
      <c r="G2395" s="166"/>
    </row>
    <row r="2396" spans="7:7" x14ac:dyDescent="0.25">
      <c r="G2396" s="166"/>
    </row>
    <row r="2397" spans="7:7" x14ac:dyDescent="0.25">
      <c r="G2397" s="166"/>
    </row>
    <row r="2398" spans="7:7" x14ac:dyDescent="0.25">
      <c r="G2398" s="166"/>
    </row>
    <row r="2399" spans="7:7" x14ac:dyDescent="0.25">
      <c r="G2399" s="166"/>
    </row>
    <row r="2400" spans="7:7" x14ac:dyDescent="0.25">
      <c r="G2400" s="166"/>
    </row>
    <row r="2401" spans="7:7" x14ac:dyDescent="0.25">
      <c r="G2401" s="166"/>
    </row>
    <row r="2402" spans="7:7" x14ac:dyDescent="0.25">
      <c r="G2402" s="166"/>
    </row>
    <row r="2403" spans="7:7" x14ac:dyDescent="0.25">
      <c r="G2403" s="166"/>
    </row>
    <row r="2404" spans="7:7" x14ac:dyDescent="0.25">
      <c r="G2404" s="166"/>
    </row>
    <row r="2405" spans="7:7" x14ac:dyDescent="0.25">
      <c r="G2405" s="166"/>
    </row>
    <row r="2406" spans="7:7" x14ac:dyDescent="0.25">
      <c r="G2406" s="166"/>
    </row>
    <row r="2407" spans="7:7" x14ac:dyDescent="0.25">
      <c r="G2407" s="166"/>
    </row>
    <row r="2408" spans="7:7" x14ac:dyDescent="0.25">
      <c r="G2408" s="166"/>
    </row>
    <row r="2409" spans="7:7" x14ac:dyDescent="0.25">
      <c r="G2409" s="166"/>
    </row>
    <row r="2410" spans="7:7" x14ac:dyDescent="0.25">
      <c r="G2410" s="166"/>
    </row>
    <row r="2411" spans="7:7" x14ac:dyDescent="0.25">
      <c r="G2411" s="166"/>
    </row>
    <row r="2412" spans="7:7" x14ac:dyDescent="0.25">
      <c r="G2412" s="166"/>
    </row>
    <row r="2413" spans="7:7" x14ac:dyDescent="0.25">
      <c r="G2413" s="166"/>
    </row>
    <row r="2414" spans="7:7" x14ac:dyDescent="0.25">
      <c r="G2414" s="166"/>
    </row>
    <row r="2415" spans="7:7" x14ac:dyDescent="0.25">
      <c r="G2415" s="166"/>
    </row>
    <row r="2416" spans="7:7" x14ac:dyDescent="0.25">
      <c r="G2416" s="166"/>
    </row>
    <row r="2417" spans="7:7" x14ac:dyDescent="0.25">
      <c r="G2417" s="166"/>
    </row>
    <row r="2418" spans="7:7" x14ac:dyDescent="0.25">
      <c r="G2418" s="166"/>
    </row>
    <row r="2419" spans="7:7" x14ac:dyDescent="0.25">
      <c r="G2419" s="166"/>
    </row>
    <row r="2420" spans="7:7" x14ac:dyDescent="0.25">
      <c r="G2420" s="166"/>
    </row>
    <row r="2421" spans="7:7" x14ac:dyDescent="0.25">
      <c r="G2421" s="166"/>
    </row>
    <row r="2422" spans="7:7" x14ac:dyDescent="0.25">
      <c r="G2422" s="166"/>
    </row>
    <row r="2423" spans="7:7" x14ac:dyDescent="0.25">
      <c r="G2423" s="166"/>
    </row>
    <row r="2424" spans="7:7" x14ac:dyDescent="0.25">
      <c r="G2424" s="166"/>
    </row>
    <row r="2425" spans="7:7" x14ac:dyDescent="0.25">
      <c r="G2425" s="166"/>
    </row>
    <row r="2426" spans="7:7" x14ac:dyDescent="0.25">
      <c r="G2426" s="166"/>
    </row>
    <row r="2427" spans="7:7" x14ac:dyDescent="0.25">
      <c r="G2427" s="166"/>
    </row>
    <row r="2428" spans="7:7" x14ac:dyDescent="0.25">
      <c r="G2428" s="166"/>
    </row>
    <row r="2429" spans="7:7" x14ac:dyDescent="0.25">
      <c r="G2429" s="166"/>
    </row>
    <row r="2430" spans="7:7" x14ac:dyDescent="0.25">
      <c r="G2430" s="166"/>
    </row>
    <row r="2431" spans="7:7" x14ac:dyDescent="0.25">
      <c r="G2431" s="166"/>
    </row>
    <row r="2432" spans="7:7" x14ac:dyDescent="0.25">
      <c r="G2432" s="166"/>
    </row>
    <row r="2433" spans="7:7" x14ac:dyDescent="0.25">
      <c r="G2433" s="166"/>
    </row>
    <row r="2434" spans="7:7" x14ac:dyDescent="0.25">
      <c r="G2434" s="166"/>
    </row>
    <row r="2435" spans="7:7" x14ac:dyDescent="0.25">
      <c r="G2435" s="166"/>
    </row>
    <row r="2436" spans="7:7" x14ac:dyDescent="0.25">
      <c r="G2436" s="166"/>
    </row>
    <row r="2437" spans="7:7" x14ac:dyDescent="0.25">
      <c r="G2437" s="166"/>
    </row>
    <row r="2438" spans="7:7" x14ac:dyDescent="0.25">
      <c r="G2438" s="166"/>
    </row>
    <row r="2439" spans="7:7" x14ac:dyDescent="0.25">
      <c r="G2439" s="166"/>
    </row>
    <row r="2440" spans="7:7" x14ac:dyDescent="0.25">
      <c r="G2440" s="166"/>
    </row>
    <row r="2441" spans="7:7" x14ac:dyDescent="0.25">
      <c r="G2441" s="166"/>
    </row>
    <row r="2442" spans="7:7" x14ac:dyDescent="0.25">
      <c r="G2442" s="166"/>
    </row>
    <row r="2443" spans="7:7" x14ac:dyDescent="0.25">
      <c r="G2443" s="166"/>
    </row>
    <row r="2444" spans="7:7" x14ac:dyDescent="0.25">
      <c r="G2444" s="166"/>
    </row>
    <row r="2445" spans="7:7" x14ac:dyDescent="0.25">
      <c r="G2445" s="166"/>
    </row>
    <row r="2446" spans="7:7" x14ac:dyDescent="0.25">
      <c r="G2446" s="166"/>
    </row>
    <row r="2447" spans="7:7" x14ac:dyDescent="0.25">
      <c r="G2447" s="166"/>
    </row>
    <row r="2448" spans="7:7" x14ac:dyDescent="0.25">
      <c r="G2448" s="166"/>
    </row>
    <row r="2449" spans="7:13" x14ac:dyDescent="0.25">
      <c r="G2449" s="166"/>
    </row>
    <row r="2450" spans="7:13" x14ac:dyDescent="0.25">
      <c r="G2450" s="166"/>
    </row>
    <row r="2451" spans="7:13" x14ac:dyDescent="0.25">
      <c r="G2451" s="166"/>
    </row>
    <row r="2452" spans="7:13" x14ac:dyDescent="0.25">
      <c r="G2452" s="166"/>
    </row>
    <row r="2453" spans="7:13" x14ac:dyDescent="0.25">
      <c r="G2453" s="166"/>
    </row>
    <row r="2454" spans="7:13" x14ac:dyDescent="0.25">
      <c r="G2454" s="166"/>
    </row>
    <row r="2455" spans="7:13" x14ac:dyDescent="0.25">
      <c r="G2455" s="166"/>
    </row>
    <row r="2456" spans="7:13" x14ac:dyDescent="0.25">
      <c r="G2456" s="166"/>
    </row>
    <row r="2457" spans="7:13" x14ac:dyDescent="0.25">
      <c r="G2457" s="166"/>
    </row>
    <row r="2458" spans="7:13" x14ac:dyDescent="0.25">
      <c r="G2458" s="166"/>
    </row>
    <row r="2459" spans="7:13" x14ac:dyDescent="0.25">
      <c r="G2459" s="166"/>
    </row>
    <row r="2460" spans="7:13" x14ac:dyDescent="0.25">
      <c r="G2460" s="166"/>
    </row>
    <row r="2461" spans="7:13" x14ac:dyDescent="0.25">
      <c r="L2461" t="s">
        <v>274</v>
      </c>
      <c r="M2461" t="s">
        <v>275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Button 1">
              <controlPr defaultSize="0" print="0" autoFill="0" autoPict="0" macro="[0]!SpanPaymentOptions">
                <anchor moveWithCells="1" sizeWithCells="1">
                  <from>
                    <xdr:col>16</xdr:col>
                    <xdr:colOff>142875</xdr:colOff>
                    <xdr:row>0</xdr:row>
                    <xdr:rowOff>38100</xdr:rowOff>
                  </from>
                  <to>
                    <xdr:col>20</xdr:col>
                    <xdr:colOff>400050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7"/>
  <sheetViews>
    <sheetView workbookViewId="0">
      <selection activeCell="J20" sqref="J20"/>
    </sheetView>
  </sheetViews>
  <sheetFormatPr defaultRowHeight="15" x14ac:dyDescent="0.25"/>
  <cols>
    <col min="1" max="1" width="31" style="18" customWidth="1"/>
    <col min="2" max="16384" width="9.140625" style="18"/>
  </cols>
  <sheetData>
    <row r="1" spans="1:1" ht="15.75" thickBot="1" x14ac:dyDescent="0.3">
      <c r="A1" s="104" t="s">
        <v>20</v>
      </c>
    </row>
    <row r="2" spans="1:1" x14ac:dyDescent="0.25">
      <c r="A2" s="104" t="s">
        <v>18</v>
      </c>
    </row>
    <row r="3" spans="1:1" ht="15.75" thickBot="1" x14ac:dyDescent="0.3">
      <c r="A3" s="105" t="s">
        <v>19</v>
      </c>
    </row>
    <row r="4" spans="1:1" ht="15.75" thickBot="1" x14ac:dyDescent="0.3"/>
    <row r="5" spans="1:1" ht="15.75" thickBot="1" x14ac:dyDescent="0.3">
      <c r="A5" s="104" t="s">
        <v>48</v>
      </c>
    </row>
    <row r="6" spans="1:1" x14ac:dyDescent="0.25">
      <c r="A6" s="104" t="s">
        <v>49</v>
      </c>
    </row>
    <row r="7" spans="1:1" ht="15.75" thickBot="1" x14ac:dyDescent="0.3">
      <c r="A7" s="10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46</vt:i4>
      </vt:variant>
    </vt:vector>
  </HeadingPairs>
  <TitlesOfParts>
    <vt:vector size="55" baseType="lpstr">
      <vt:lpstr>Dashboard and Input Variables</vt:lpstr>
      <vt:lpstr>References</vt:lpstr>
      <vt:lpstr>Grid Sizes, Locations, and GHGs</vt:lpstr>
      <vt:lpstr>Equivalent_$Ton</vt:lpstr>
      <vt:lpstr>GHG by Electricity Source</vt:lpstr>
      <vt:lpstr>Instantatneous Model</vt:lpstr>
      <vt:lpstr>Cumulative 40yr Model</vt:lpstr>
      <vt:lpstr>ResponseCurves</vt:lpstr>
      <vt:lpstr>Allowable Values</vt:lpstr>
      <vt:lpstr>Add_Wind_Cap</vt:lpstr>
      <vt:lpstr>AESO2008</vt:lpstr>
      <vt:lpstr>AESO2014</vt:lpstr>
      <vt:lpstr>Area</vt:lpstr>
      <vt:lpstr>Area_Fraction</vt:lpstr>
      <vt:lpstr>CF</vt:lpstr>
      <vt:lpstr>ClimatePolicy2015</vt:lpstr>
      <vt:lpstr>CoxChris2013</vt:lpstr>
      <vt:lpstr>Creyts2007</vt:lpstr>
      <vt:lpstr>Delucchi</vt:lpstr>
      <vt:lpstr>Delucchi2011</vt:lpstr>
      <vt:lpstr>EIA_2010</vt:lpstr>
      <vt:lpstr>Georgilakis2008</vt:lpstr>
      <vt:lpstr>GOA_2013</vt:lpstr>
      <vt:lpstr>GOA_2015</vt:lpstr>
      <vt:lpstr>GovAB2013</vt:lpstr>
      <vt:lpstr>Grid_Cap</vt:lpstr>
      <vt:lpstr>IHS_CERA_2012</vt:lpstr>
      <vt:lpstr>IHS_CERA_2015</vt:lpstr>
      <vt:lpstr>Inc_Em</vt:lpstr>
      <vt:lpstr>Land_Area</vt:lpstr>
      <vt:lpstr>Nugent2014</vt:lpstr>
      <vt:lpstr>Oil_Growth</vt:lpstr>
      <vt:lpstr>Oil_Prod</vt:lpstr>
      <vt:lpstr>Patel2005</vt:lpstr>
      <vt:lpstr>Prod_Em</vt:lpstr>
      <vt:lpstr>Raadal2011</vt:lpstr>
      <vt:lpstr>Radaal2011</vt:lpstr>
      <vt:lpstr>RETScreen</vt:lpstr>
      <vt:lpstr>Tarrif_bbl</vt:lpstr>
      <vt:lpstr>Tarrif_kwh</vt:lpstr>
      <vt:lpstr>Total_Em</vt:lpstr>
      <vt:lpstr>Trans_Cost</vt:lpstr>
      <vt:lpstr>Trans_Redund</vt:lpstr>
      <vt:lpstr>Turb_Cost</vt:lpstr>
      <vt:lpstr>Turb_Cost_W</vt:lpstr>
      <vt:lpstr>Turb_Dense</vt:lpstr>
      <vt:lpstr>Turb_GHG</vt:lpstr>
      <vt:lpstr>Turb_Life</vt:lpstr>
      <vt:lpstr>Turb_OM</vt:lpstr>
      <vt:lpstr>Turb_OM_W</vt:lpstr>
      <vt:lpstr>Turb_Size</vt:lpstr>
      <vt:lpstr>Turb_Size_MW</vt:lpstr>
      <vt:lpstr>Vestas2014</vt:lpstr>
      <vt:lpstr>Weisser2007</vt:lpstr>
      <vt:lpstr>Wiser2015</vt:lpstr>
    </vt:vector>
  </TitlesOfParts>
  <Company>Massachusetts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Taylor</dc:creator>
  <cp:lastModifiedBy>David Taylor</cp:lastModifiedBy>
  <dcterms:created xsi:type="dcterms:W3CDTF">2015-09-21T19:46:46Z</dcterms:created>
  <dcterms:modified xsi:type="dcterms:W3CDTF">2016-11-16T03:09:05Z</dcterms:modified>
</cp:coreProperties>
</file>